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https://clsphila-my.sharepoint.com/personal/rballenger_clsphila_org/Documents/2023 TAP R/PWD Disco of PA/"/>
    </mc:Choice>
  </mc:AlternateContent>
  <xr:revisionPtr revIDLastSave="80" documentId="8_{DE786270-2174-48B5-BEE3-2A69C11403CB}" xr6:coauthVersionLast="47" xr6:coauthVersionMax="47" xr10:uidLastSave="{D8274045-6625-44F7-9CD2-DE8F6B8E15CD}"/>
  <bookViews>
    <workbookView xWindow="-110" yWindow="-110" windowWidth="19420" windowHeight="10420" tabRatio="583" activeTab="3" xr2:uid="{00000000-000D-0000-FFFF-FFFF00000000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externalReferences>
    <externalReference r:id="rId14"/>
  </externalReferences>
  <definedNames>
    <definedName name="_xlnm.Print_Area" localSheetId="0">Cover!$A$1:$I$11</definedName>
    <definedName name="_xlnm.Print_Area" localSheetId="4">'Data Source'!$A$1:$K$7</definedName>
    <definedName name="_xlnm.Print_Area" localSheetId="5">DR_1!$AA$1:$AK$16</definedName>
    <definedName name="_xlnm.Print_Area" localSheetId="6">DR_2!$AA$1:$AK$16</definedName>
    <definedName name="_xlnm.Print_Area" localSheetId="7">'DR_3A Participants'!$Z$1:$AJ$9</definedName>
    <definedName name="_xlnm.Print_Area" localSheetId="8">DR_4!$Z$1:$AJ$9</definedName>
    <definedName name="_xlnm.Print_Area" localSheetId="1">'Table of Contents'!$A$1:$B$9</definedName>
    <definedName name="_xlnm.Print_Area" localSheetId="3">TRR_Projections!$A$1:$BE$11</definedName>
    <definedName name="_xlnm.Print_Area" localSheetId="2">TRR_Summary!$A$1:$I$13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  <definedName name="_xlnm.Print_Titles" localSheetId="3">TRR_Projections!$A:$A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23" l="1"/>
  <c r="AK13" i="23" s="1"/>
  <c r="AL9" i="23"/>
  <c r="AK9" i="23"/>
  <c r="AL7" i="23"/>
  <c r="AK7" i="23"/>
  <c r="AL5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A1" i="21" l="1"/>
  <c r="A1" i="20"/>
  <c r="A1" i="25"/>
  <c r="A1" i="24"/>
  <c r="C14" i="24"/>
  <c r="AJ5" i="23"/>
  <c r="AF9" i="21"/>
  <c r="AF7" i="23" s="1"/>
  <c r="AG9" i="21"/>
  <c r="AG7" i="23" s="1"/>
  <c r="AH9" i="21"/>
  <c r="AH7" i="23" s="1"/>
  <c r="AI9" i="21"/>
  <c r="AI7" i="23" s="1"/>
  <c r="AJ9" i="21"/>
  <c r="AJ7" i="23" s="1"/>
  <c r="AJ3" i="20"/>
  <c r="AJ2" i="20" s="1"/>
  <c r="AF9" i="20"/>
  <c r="AF5" i="23" s="1"/>
  <c r="AG9" i="20"/>
  <c r="AG5" i="23" s="1"/>
  <c r="AH9" i="20"/>
  <c r="AH5" i="23" s="1"/>
  <c r="AI9" i="20"/>
  <c r="AI5" i="23" s="1"/>
  <c r="AJ9" i="20"/>
  <c r="AF3" i="20"/>
  <c r="AF2" i="20" s="1"/>
  <c r="AF4" i="20" s="1"/>
  <c r="AG3" i="20"/>
  <c r="AG2" i="20" s="1"/>
  <c r="AG4" i="20" s="1"/>
  <c r="AG14" i="24"/>
  <c r="AF9" i="23" s="1"/>
  <c r="AH14" i="24"/>
  <c r="AG9" i="23" s="1"/>
  <c r="AI14" i="24"/>
  <c r="AH9" i="23" s="1"/>
  <c r="AJ14" i="24"/>
  <c r="AI9" i="23" s="1"/>
  <c r="AK14" i="24"/>
  <c r="AJ9" i="23" s="1"/>
  <c r="AG15" i="24"/>
  <c r="AH15" i="24"/>
  <c r="AI15" i="24"/>
  <c r="AJ15" i="24"/>
  <c r="AK15" i="24"/>
  <c r="AG16" i="24"/>
  <c r="AH16" i="24"/>
  <c r="AI16" i="24"/>
  <c r="AJ16" i="24"/>
  <c r="AK16" i="24"/>
  <c r="AG3" i="24"/>
  <c r="AG2" i="24" s="1"/>
  <c r="AG14" i="25"/>
  <c r="AF11" i="23" s="1"/>
  <c r="AH14" i="25"/>
  <c r="AG11" i="23" s="1"/>
  <c r="AI14" i="25"/>
  <c r="AH11" i="23" s="1"/>
  <c r="AJ14" i="25"/>
  <c r="AI11" i="23" s="1"/>
  <c r="AK14" i="25"/>
  <c r="AJ11" i="23" s="1"/>
  <c r="AG15" i="25"/>
  <c r="AH15" i="25"/>
  <c r="AI15" i="25"/>
  <c r="AJ15" i="25"/>
  <c r="AK15" i="25"/>
  <c r="AG16" i="25"/>
  <c r="AH16" i="25"/>
  <c r="AI16" i="25"/>
  <c r="AJ16" i="25"/>
  <c r="AK16" i="25"/>
  <c r="AG2" i="25"/>
  <c r="AG3" i="25"/>
  <c r="AH3" i="25" s="1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U1" i="23"/>
  <c r="V1" i="23"/>
  <c r="W1" i="23"/>
  <c r="X1" i="23"/>
  <c r="Y1" i="23"/>
  <c r="Z1" i="23"/>
  <c r="AA1" i="23"/>
  <c r="AB1" i="23"/>
  <c r="AC1" i="23"/>
  <c r="AD1" i="23"/>
  <c r="AE1" i="23"/>
  <c r="AF1" i="23"/>
  <c r="AG1" i="23"/>
  <c r="AH1" i="23"/>
  <c r="AI1" i="23"/>
  <c r="AJ1" i="23"/>
  <c r="AK1" i="23"/>
  <c r="AL1" i="23"/>
  <c r="AM1" i="23"/>
  <c r="AN1" i="23"/>
  <c r="AO1" i="23"/>
  <c r="AP1" i="23"/>
  <c r="AQ1" i="23"/>
  <c r="AR1" i="23"/>
  <c r="AS1" i="23"/>
  <c r="AT1" i="23"/>
  <c r="AU1" i="23"/>
  <c r="AV1" i="23"/>
  <c r="AW1" i="23"/>
  <c r="AX1" i="23"/>
  <c r="AY1" i="23"/>
  <c r="AZ1" i="23"/>
  <c r="BA1" i="23"/>
  <c r="BB1" i="23"/>
  <c r="BC1" i="23"/>
  <c r="BD1" i="23"/>
  <c r="BE1" i="23"/>
  <c r="B1" i="23"/>
  <c r="AT6" i="23"/>
  <c r="AU6" i="23"/>
  <c r="AU8" i="23" s="1"/>
  <c r="AU10" i="23" s="1"/>
  <c r="AV6" i="23"/>
  <c r="AV8" i="23" s="1"/>
  <c r="AV10" i="23" s="1"/>
  <c r="AW6" i="23"/>
  <c r="AX6" i="23"/>
  <c r="AY6" i="23"/>
  <c r="AY8" i="23" s="1"/>
  <c r="AY10" i="23" s="1"/>
  <c r="AZ6" i="23"/>
  <c r="AZ8" i="23" s="1"/>
  <c r="AZ10" i="23" s="1"/>
  <c r="BA6" i="23"/>
  <c r="BB6" i="23"/>
  <c r="BC6" i="23"/>
  <c r="BC8" i="23" s="1"/>
  <c r="BC10" i="23" s="1"/>
  <c r="BD6" i="23"/>
  <c r="BD8" i="23" s="1"/>
  <c r="BD10" i="23" s="1"/>
  <c r="BE6" i="23"/>
  <c r="AT8" i="23"/>
  <c r="AW8" i="23"/>
  <c r="AW10" i="23" s="1"/>
  <c r="AX8" i="23"/>
  <c r="BA8" i="23"/>
  <c r="BA10" i="23" s="1"/>
  <c r="BB8" i="23"/>
  <c r="BE8" i="23"/>
  <c r="BE10" i="23" s="1"/>
  <c r="AT10" i="23"/>
  <c r="AX10" i="23"/>
  <c r="BB10" i="23"/>
  <c r="AF6" i="23"/>
  <c r="D13" i="16"/>
  <c r="B13" i="16"/>
  <c r="B11" i="16"/>
  <c r="B10" i="16"/>
  <c r="AJ4" i="20" l="1"/>
  <c r="AH3" i="20"/>
  <c r="AI3" i="20" s="1"/>
  <c r="AH2" i="20"/>
  <c r="AI2" i="20" s="1"/>
  <c r="AI4" i="20" s="1"/>
  <c r="AG4" i="24"/>
  <c r="AG13" i="24" s="1"/>
  <c r="AH3" i="24"/>
  <c r="AH2" i="25"/>
  <c r="AH4" i="25" s="1"/>
  <c r="AH13" i="25" s="1"/>
  <c r="AI3" i="25"/>
  <c r="AG4" i="25"/>
  <c r="AG13" i="25" s="1"/>
  <c r="H10" i="16"/>
  <c r="I10" i="16"/>
  <c r="D12" i="16"/>
  <c r="B12" i="16"/>
  <c r="C8" i="23"/>
  <c r="C10" i="23" s="1"/>
  <c r="B6" i="23"/>
  <c r="B8" i="23" s="1"/>
  <c r="B10" i="23" s="1"/>
  <c r="C6" i="23"/>
  <c r="W9" i="21"/>
  <c r="W7" i="23" s="1"/>
  <c r="X9" i="21"/>
  <c r="X7" i="23" s="1"/>
  <c r="Y9" i="21"/>
  <c r="Y7" i="23" s="1"/>
  <c r="Z9" i="21"/>
  <c r="Z7" i="23" s="1"/>
  <c r="AA9" i="21"/>
  <c r="AA7" i="23" s="1"/>
  <c r="AB9" i="21"/>
  <c r="AB7" i="23" s="1"/>
  <c r="AC9" i="21"/>
  <c r="AC7" i="23" s="1"/>
  <c r="AD9" i="21"/>
  <c r="AD7" i="23" s="1"/>
  <c r="AE9" i="21"/>
  <c r="AE7" i="23" s="1"/>
  <c r="Y3" i="21"/>
  <c r="W4" i="21"/>
  <c r="X4" i="21"/>
  <c r="V4" i="21"/>
  <c r="W9" i="20"/>
  <c r="W5" i="23" s="1"/>
  <c r="X9" i="20"/>
  <c r="X5" i="23" s="1"/>
  <c r="Y9" i="20"/>
  <c r="Y5" i="23" s="1"/>
  <c r="Z9" i="20"/>
  <c r="Z5" i="23" s="1"/>
  <c r="AA9" i="20"/>
  <c r="AA5" i="23" s="1"/>
  <c r="AB9" i="20"/>
  <c r="AB5" i="23" s="1"/>
  <c r="AC9" i="20"/>
  <c r="AC5" i="23" s="1"/>
  <c r="AD9" i="20"/>
  <c r="AD5" i="23" s="1"/>
  <c r="AE9" i="20"/>
  <c r="AE5" i="23" s="1"/>
  <c r="W4" i="20"/>
  <c r="X4" i="20"/>
  <c r="Y4" i="20"/>
  <c r="X4" i="25"/>
  <c r="X13" i="25" s="1"/>
  <c r="Y4" i="25"/>
  <c r="Y13" i="25" s="1"/>
  <c r="X14" i="25"/>
  <c r="W11" i="23" s="1"/>
  <c r="Y14" i="25"/>
  <c r="X11" i="23" s="1"/>
  <c r="X15" i="25"/>
  <c r="Y15" i="25"/>
  <c r="X16" i="25"/>
  <c r="Y16" i="25"/>
  <c r="O14" i="25"/>
  <c r="N11" i="23" s="1"/>
  <c r="S14" i="25"/>
  <c r="R11" i="23" s="1"/>
  <c r="W14" i="25"/>
  <c r="V11" i="23" s="1"/>
  <c r="U15" i="25"/>
  <c r="O16" i="25"/>
  <c r="Q16" i="25"/>
  <c r="R16" i="25"/>
  <c r="S16" i="25"/>
  <c r="U16" i="25"/>
  <c r="W16" i="25"/>
  <c r="C16" i="25"/>
  <c r="Y3" i="20"/>
  <c r="Y2" i="20" s="1"/>
  <c r="AA3" i="25"/>
  <c r="AB3" i="25" s="1"/>
  <c r="Z3" i="25"/>
  <c r="AE3" i="24"/>
  <c r="AE2" i="24" s="1"/>
  <c r="AF3" i="24"/>
  <c r="AF2" i="24" s="1"/>
  <c r="AA3" i="24"/>
  <c r="AB3" i="24" s="1"/>
  <c r="AC3" i="24" s="1"/>
  <c r="AD3" i="24" s="1"/>
  <c r="Z3" i="24"/>
  <c r="Z4" i="24"/>
  <c r="Z13" i="24" s="1"/>
  <c r="Z2" i="24"/>
  <c r="R14" i="24"/>
  <c r="Q9" i="23" s="1"/>
  <c r="V14" i="24"/>
  <c r="U9" i="23" s="1"/>
  <c r="S15" i="24"/>
  <c r="T15" i="24"/>
  <c r="U15" i="24"/>
  <c r="Y15" i="24"/>
  <c r="R15" i="24"/>
  <c r="V15" i="24"/>
  <c r="V16" i="24"/>
  <c r="W16" i="24"/>
  <c r="D15" i="24"/>
  <c r="S14" i="24"/>
  <c r="R9" i="23" s="1"/>
  <c r="W14" i="24"/>
  <c r="V9" i="23" s="1"/>
  <c r="W15" i="24"/>
  <c r="Q16" i="24"/>
  <c r="U16" i="24"/>
  <c r="Y16" i="24"/>
  <c r="C16" i="24"/>
  <c r="B9" i="23"/>
  <c r="D14" i="24"/>
  <c r="C9" i="23" s="1"/>
  <c r="C13" i="24"/>
  <c r="D13" i="24"/>
  <c r="D16" i="24"/>
  <c r="C4" i="24"/>
  <c r="D4" i="24"/>
  <c r="AQ6" i="23"/>
  <c r="AQ8" i="23" s="1"/>
  <c r="AQ10" i="23" s="1"/>
  <c r="AR6" i="23"/>
  <c r="AR8" i="23" s="1"/>
  <c r="AR10" i="23" s="1"/>
  <c r="AS6" i="23"/>
  <c r="AS8" i="23" s="1"/>
  <c r="AS10" i="23" s="1"/>
  <c r="AP6" i="23"/>
  <c r="AP8" i="23" s="1"/>
  <c r="AP10" i="23" s="1"/>
  <c r="AO6" i="23"/>
  <c r="AO8" i="23" s="1"/>
  <c r="AO10" i="23" s="1"/>
  <c r="AN6" i="23"/>
  <c r="AN8" i="23" s="1"/>
  <c r="AN10" i="23" s="1"/>
  <c r="AM6" i="23"/>
  <c r="AM8" i="23" s="1"/>
  <c r="AM10" i="23" s="1"/>
  <c r="AH6" i="23"/>
  <c r="AH8" i="23" s="1"/>
  <c r="AH10" i="23" s="1"/>
  <c r="AL6" i="23"/>
  <c r="AL8" i="23" s="1"/>
  <c r="AL10" i="23" s="1"/>
  <c r="AK6" i="23"/>
  <c r="AK8" i="23" s="1"/>
  <c r="AK10" i="23" s="1"/>
  <c r="AJ6" i="23"/>
  <c r="AJ8" i="23" s="1"/>
  <c r="AJ10" i="23" s="1"/>
  <c r="AI6" i="23"/>
  <c r="AI8" i="23" s="1"/>
  <c r="AI10" i="23" s="1"/>
  <c r="R9" i="21"/>
  <c r="R7" i="23" s="1"/>
  <c r="S9" i="21"/>
  <c r="S7" i="23" s="1"/>
  <c r="T9" i="21"/>
  <c r="T7" i="23" s="1"/>
  <c r="U9" i="21"/>
  <c r="U7" i="23" s="1"/>
  <c r="V9" i="21"/>
  <c r="V7" i="23" s="1"/>
  <c r="K9" i="21"/>
  <c r="K7" i="23" s="1"/>
  <c r="L9" i="21"/>
  <c r="L7" i="23" s="1"/>
  <c r="M9" i="21"/>
  <c r="M7" i="23" s="1"/>
  <c r="N9" i="21"/>
  <c r="N7" i="23" s="1"/>
  <c r="O9" i="21"/>
  <c r="O7" i="23" s="1"/>
  <c r="P9" i="21"/>
  <c r="P7" i="23" s="1"/>
  <c r="R4" i="21"/>
  <c r="S4" i="21"/>
  <c r="T4" i="21"/>
  <c r="U4" i="21"/>
  <c r="R9" i="20"/>
  <c r="R5" i="23" s="1"/>
  <c r="S9" i="20"/>
  <c r="S5" i="23" s="1"/>
  <c r="T9" i="20"/>
  <c r="T5" i="23" s="1"/>
  <c r="U9" i="20"/>
  <c r="U5" i="23" s="1"/>
  <c r="V9" i="20"/>
  <c r="V5" i="23" s="1"/>
  <c r="R4" i="20"/>
  <c r="S4" i="20"/>
  <c r="T4" i="20"/>
  <c r="U4" i="20"/>
  <c r="V4" i="20"/>
  <c r="T14" i="25"/>
  <c r="S11" i="23" s="1"/>
  <c r="U14" i="25"/>
  <c r="T11" i="23" s="1"/>
  <c r="V14" i="25"/>
  <c r="U11" i="23" s="1"/>
  <c r="S15" i="25"/>
  <c r="T15" i="25"/>
  <c r="V15" i="25"/>
  <c r="W15" i="25"/>
  <c r="T16" i="25"/>
  <c r="V16" i="25"/>
  <c r="S4" i="25"/>
  <c r="S13" i="25" s="1"/>
  <c r="T4" i="25"/>
  <c r="T13" i="25" s="1"/>
  <c r="U4" i="25"/>
  <c r="U13" i="25" s="1"/>
  <c r="V4" i="25"/>
  <c r="V13" i="25" s="1"/>
  <c r="W4" i="25"/>
  <c r="W13" i="25" s="1"/>
  <c r="Q15" i="25"/>
  <c r="N15" i="25"/>
  <c r="R15" i="25"/>
  <c r="P16" i="25"/>
  <c r="U14" i="24"/>
  <c r="T9" i="23" s="1"/>
  <c r="X14" i="24"/>
  <c r="W9" i="23" s="1"/>
  <c r="Y14" i="24"/>
  <c r="X9" i="23" s="1"/>
  <c r="X15" i="24"/>
  <c r="X16" i="24"/>
  <c r="U4" i="24"/>
  <c r="U13" i="24" s="1"/>
  <c r="V4" i="24"/>
  <c r="V13" i="24" s="1"/>
  <c r="W4" i="24"/>
  <c r="W13" i="24" s="1"/>
  <c r="X4" i="24"/>
  <c r="X13" i="24" s="1"/>
  <c r="Y4" i="24"/>
  <c r="Y13" i="24" s="1"/>
  <c r="T14" i="24"/>
  <c r="S9" i="23" s="1"/>
  <c r="T16" i="24"/>
  <c r="P15" i="24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B4" i="21"/>
  <c r="Q15" i="24"/>
  <c r="R16" i="24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B4" i="20"/>
  <c r="E4" i="24"/>
  <c r="E13" i="24" s="1"/>
  <c r="M9" i="20"/>
  <c r="M5" i="23" s="1"/>
  <c r="N9" i="20"/>
  <c r="N5" i="23" s="1"/>
  <c r="O9" i="20"/>
  <c r="O5" i="23" s="1"/>
  <c r="P9" i="20"/>
  <c r="P5" i="23" s="1"/>
  <c r="Q9" i="20"/>
  <c r="Q5" i="23" s="1"/>
  <c r="P14" i="24"/>
  <c r="O9" i="23" s="1"/>
  <c r="Q14" i="24"/>
  <c r="P9" i="23" s="1"/>
  <c r="P16" i="24"/>
  <c r="S16" i="24"/>
  <c r="F4" i="24"/>
  <c r="F13" i="24" s="1"/>
  <c r="G4" i="24"/>
  <c r="G13" i="24" s="1"/>
  <c r="H4" i="24"/>
  <c r="H13" i="24" s="1"/>
  <c r="I4" i="24"/>
  <c r="I13" i="24" s="1"/>
  <c r="J4" i="24"/>
  <c r="J13" i="24" s="1"/>
  <c r="K4" i="24"/>
  <c r="K13" i="24" s="1"/>
  <c r="L4" i="24"/>
  <c r="L13" i="24" s="1"/>
  <c r="M4" i="24"/>
  <c r="M13" i="24" s="1"/>
  <c r="N4" i="24"/>
  <c r="N13" i="24" s="1"/>
  <c r="O4" i="24"/>
  <c r="O13" i="24" s="1"/>
  <c r="P4" i="24"/>
  <c r="P13" i="24" s="1"/>
  <c r="Q4" i="24"/>
  <c r="Q13" i="24" s="1"/>
  <c r="R4" i="24"/>
  <c r="R13" i="24" s="1"/>
  <c r="S4" i="24"/>
  <c r="S13" i="24" s="1"/>
  <c r="T4" i="24"/>
  <c r="T13" i="24" s="1"/>
  <c r="C4" i="25"/>
  <c r="C13" i="25" s="1"/>
  <c r="J13" i="25"/>
  <c r="D4" i="25"/>
  <c r="D13" i="25" s="1"/>
  <c r="E4" i="25"/>
  <c r="E13" i="25" s="1"/>
  <c r="F4" i="25"/>
  <c r="F13" i="25" s="1"/>
  <c r="G4" i="25"/>
  <c r="G13" i="25" s="1"/>
  <c r="H4" i="25"/>
  <c r="H13" i="25" s="1"/>
  <c r="I4" i="25"/>
  <c r="I13" i="25" s="1"/>
  <c r="J4" i="25"/>
  <c r="K4" i="25"/>
  <c r="K13" i="25" s="1"/>
  <c r="L4" i="25"/>
  <c r="L13" i="25" s="1"/>
  <c r="M4" i="25"/>
  <c r="M13" i="25" s="1"/>
  <c r="N4" i="25"/>
  <c r="N13" i="25" s="1"/>
  <c r="O4" i="25"/>
  <c r="O13" i="25" s="1"/>
  <c r="P4" i="25"/>
  <c r="P13" i="25" s="1"/>
  <c r="Q4" i="25"/>
  <c r="Q13" i="25" s="1"/>
  <c r="R4" i="25"/>
  <c r="R13" i="25" s="1"/>
  <c r="N16" i="25"/>
  <c r="Q9" i="21"/>
  <c r="Q7" i="23" s="1"/>
  <c r="P15" i="25"/>
  <c r="R14" i="25"/>
  <c r="Q11" i="23" s="1"/>
  <c r="Q14" i="25"/>
  <c r="P11" i="23" s="1"/>
  <c r="P14" i="25"/>
  <c r="O11" i="23" s="1"/>
  <c r="N14" i="25"/>
  <c r="M11" i="23" s="1"/>
  <c r="E9" i="16" l="1"/>
  <c r="AH4" i="20"/>
  <c r="AI3" i="24"/>
  <c r="AH2" i="24"/>
  <c r="AH4" i="24" s="1"/>
  <c r="AH13" i="24" s="1"/>
  <c r="AI2" i="25"/>
  <c r="AJ3" i="25"/>
  <c r="AI4" i="25"/>
  <c r="AI13" i="25" s="1"/>
  <c r="G9" i="16"/>
  <c r="F9" i="16"/>
  <c r="Y4" i="21"/>
  <c r="Y2" i="21"/>
  <c r="Z3" i="21"/>
  <c r="Z3" i="20"/>
  <c r="Z4" i="25"/>
  <c r="Z13" i="25" s="1"/>
  <c r="Z2" i="25"/>
  <c r="O15" i="25"/>
  <c r="AC3" i="25"/>
  <c r="AA2" i="25"/>
  <c r="AF16" i="24"/>
  <c r="AF14" i="24"/>
  <c r="AE9" i="23" s="1"/>
  <c r="AE16" i="24"/>
  <c r="AE14" i="24"/>
  <c r="AD9" i="23" s="1"/>
  <c r="AF4" i="24"/>
  <c r="AF13" i="24" s="1"/>
  <c r="AE4" i="24"/>
  <c r="AE13" i="24" s="1"/>
  <c r="AA2" i="24"/>
  <c r="AB2" i="24" s="1"/>
  <c r="Z14" i="24"/>
  <c r="Y9" i="23" s="1"/>
  <c r="Z16" i="24"/>
  <c r="AA4" i="24"/>
  <c r="AA13" i="24" s="1"/>
  <c r="C15" i="24"/>
  <c r="B9" i="20"/>
  <c r="B5" i="23" s="1"/>
  <c r="C15" i="25"/>
  <c r="E15" i="24"/>
  <c r="AJ3" i="24" l="1"/>
  <c r="AI2" i="24"/>
  <c r="AI4" i="24" s="1"/>
  <c r="AI13" i="24" s="1"/>
  <c r="AK3" i="25"/>
  <c r="AJ2" i="25"/>
  <c r="AJ4" i="25" s="1"/>
  <c r="AJ13" i="25" s="1"/>
  <c r="AA3" i="21"/>
  <c r="Z2" i="21"/>
  <c r="Z4" i="21" s="1"/>
  <c r="AA3" i="20"/>
  <c r="Z2" i="20"/>
  <c r="AA2" i="20" s="1"/>
  <c r="AB2" i="25"/>
  <c r="AA14" i="25"/>
  <c r="Z11" i="23" s="1"/>
  <c r="AA16" i="25"/>
  <c r="Z16" i="25"/>
  <c r="Z14" i="25"/>
  <c r="Y11" i="23" s="1"/>
  <c r="AA4" i="25"/>
  <c r="AA13" i="25" s="1"/>
  <c r="AC4" i="25"/>
  <c r="AC13" i="25" s="1"/>
  <c r="AD3" i="25"/>
  <c r="AC2" i="25"/>
  <c r="AE15" i="24"/>
  <c r="AF15" i="24"/>
  <c r="AB14" i="24"/>
  <c r="AA9" i="23" s="1"/>
  <c r="AB4" i="24"/>
  <c r="AB13" i="24" s="1"/>
  <c r="AB16" i="24"/>
  <c r="AA16" i="24"/>
  <c r="AA14" i="24"/>
  <c r="Z9" i="23" s="1"/>
  <c r="AB15" i="24"/>
  <c r="Z15" i="24"/>
  <c r="AC2" i="24"/>
  <c r="AC4" i="24" s="1"/>
  <c r="AC13" i="24" s="1"/>
  <c r="AA15" i="24"/>
  <c r="E16" i="24"/>
  <c r="F16" i="24"/>
  <c r="G16" i="24"/>
  <c r="H16" i="24"/>
  <c r="I16" i="24"/>
  <c r="J16" i="24"/>
  <c r="K16" i="24"/>
  <c r="L16" i="24"/>
  <c r="M16" i="24"/>
  <c r="N16" i="24"/>
  <c r="O16" i="24"/>
  <c r="D16" i="25"/>
  <c r="E16" i="25"/>
  <c r="F16" i="25"/>
  <c r="G16" i="25"/>
  <c r="H16" i="25"/>
  <c r="I16" i="25"/>
  <c r="J16" i="25"/>
  <c r="K16" i="25"/>
  <c r="L16" i="25"/>
  <c r="M16" i="25"/>
  <c r="AK3" i="24" l="1"/>
  <c r="AJ2" i="24"/>
  <c r="AJ4" i="24" s="1"/>
  <c r="AJ13" i="24" s="1"/>
  <c r="AK4" i="25"/>
  <c r="AK13" i="25" s="1"/>
  <c r="AK2" i="25"/>
  <c r="AL13" i="23"/>
  <c r="AL14" i="23" s="1"/>
  <c r="AM3" i="23" s="1"/>
  <c r="AN3" i="23" s="1"/>
  <c r="AO3" i="23" s="1"/>
  <c r="AP3" i="23" s="1"/>
  <c r="AQ3" i="23" s="1"/>
  <c r="AR3" i="23" s="1"/>
  <c r="AS3" i="23" s="1"/>
  <c r="AT3" i="23" s="1"/>
  <c r="AU3" i="23" s="1"/>
  <c r="AV3" i="23" s="1"/>
  <c r="AW3" i="23" s="1"/>
  <c r="AX3" i="23" s="1"/>
  <c r="AY3" i="23" s="1"/>
  <c r="AZ3" i="23" s="1"/>
  <c r="BA3" i="23" s="1"/>
  <c r="BB3" i="23" s="1"/>
  <c r="BC3" i="23" s="1"/>
  <c r="BD3" i="23" s="1"/>
  <c r="BE3" i="23" s="1"/>
  <c r="AB3" i="21"/>
  <c r="AA2" i="21"/>
  <c r="AA4" i="21" s="1"/>
  <c r="Z4" i="20"/>
  <c r="AA4" i="20"/>
  <c r="AB3" i="20"/>
  <c r="AC14" i="25"/>
  <c r="AB11" i="23" s="1"/>
  <c r="AC16" i="25"/>
  <c r="AD4" i="25"/>
  <c r="AD13" i="25" s="1"/>
  <c r="Z15" i="25"/>
  <c r="AA15" i="25"/>
  <c r="AB14" i="25"/>
  <c r="AA11" i="23" s="1"/>
  <c r="AB16" i="25"/>
  <c r="AB4" i="25"/>
  <c r="AB13" i="25" s="1"/>
  <c r="AE3" i="25"/>
  <c r="AD2" i="25"/>
  <c r="AC14" i="24"/>
  <c r="AB9" i="23" s="1"/>
  <c r="AC16" i="24"/>
  <c r="AD2" i="24"/>
  <c r="M15" i="25"/>
  <c r="L15" i="25"/>
  <c r="K15" i="25"/>
  <c r="J15" i="25"/>
  <c r="I15" i="25"/>
  <c r="H15" i="25"/>
  <c r="G15" i="25"/>
  <c r="F15" i="25"/>
  <c r="E15" i="25"/>
  <c r="D15" i="25"/>
  <c r="M14" i="25"/>
  <c r="L11" i="23" s="1"/>
  <c r="L14" i="25"/>
  <c r="K11" i="23" s="1"/>
  <c r="K14" i="25"/>
  <c r="J11" i="23" s="1"/>
  <c r="J14" i="25"/>
  <c r="I11" i="23" s="1"/>
  <c r="I14" i="25"/>
  <c r="H11" i="23" s="1"/>
  <c r="H14" i="25"/>
  <c r="G11" i="23" s="1"/>
  <c r="G14" i="25"/>
  <c r="F11" i="23" s="1"/>
  <c r="F14" i="25"/>
  <c r="E11" i="23" s="1"/>
  <c r="E14" i="25"/>
  <c r="D11" i="23" s="1"/>
  <c r="D14" i="25"/>
  <c r="C11" i="23" s="1"/>
  <c r="C14" i="25"/>
  <c r="B11" i="23" s="1"/>
  <c r="O15" i="24"/>
  <c r="N15" i="24"/>
  <c r="M15" i="24"/>
  <c r="L15" i="24"/>
  <c r="K15" i="24"/>
  <c r="J15" i="24"/>
  <c r="I15" i="24"/>
  <c r="H15" i="24"/>
  <c r="G15" i="24"/>
  <c r="F15" i="24"/>
  <c r="O14" i="24"/>
  <c r="N9" i="23" s="1"/>
  <c r="N14" i="24"/>
  <c r="M9" i="23" s="1"/>
  <c r="M14" i="24"/>
  <c r="L9" i="23" s="1"/>
  <c r="L14" i="24"/>
  <c r="K9" i="23" s="1"/>
  <c r="K14" i="24"/>
  <c r="J9" i="23" s="1"/>
  <c r="J14" i="24"/>
  <c r="I9" i="23" s="1"/>
  <c r="I14" i="24"/>
  <c r="H9" i="23" s="1"/>
  <c r="H14" i="24"/>
  <c r="G9" i="23" s="1"/>
  <c r="G14" i="24"/>
  <c r="F9" i="23" s="1"/>
  <c r="F14" i="24"/>
  <c r="E9" i="23" s="1"/>
  <c r="E14" i="24"/>
  <c r="D9" i="23" s="1"/>
  <c r="C9" i="20"/>
  <c r="C5" i="23" s="1"/>
  <c r="D9" i="20"/>
  <c r="D5" i="23" s="1"/>
  <c r="E9" i="20"/>
  <c r="E5" i="23" s="1"/>
  <c r="F9" i="20"/>
  <c r="F5" i="23" s="1"/>
  <c r="G9" i="20"/>
  <c r="G5" i="23" s="1"/>
  <c r="H9" i="20"/>
  <c r="H5" i="23" s="1"/>
  <c r="I9" i="20"/>
  <c r="I5" i="23" s="1"/>
  <c r="J9" i="20"/>
  <c r="J5" i="23" s="1"/>
  <c r="K9" i="20"/>
  <c r="K5" i="23" s="1"/>
  <c r="L9" i="20"/>
  <c r="L5" i="23" s="1"/>
  <c r="J9" i="21"/>
  <c r="J7" i="23" s="1"/>
  <c r="I9" i="21"/>
  <c r="I7" i="23" s="1"/>
  <c r="H9" i="21"/>
  <c r="H7" i="23" s="1"/>
  <c r="G9" i="21"/>
  <c r="G7" i="23" s="1"/>
  <c r="F9" i="21"/>
  <c r="F7" i="23" s="1"/>
  <c r="E9" i="21"/>
  <c r="E7" i="23" s="1"/>
  <c r="D9" i="21"/>
  <c r="D7" i="23" s="1"/>
  <c r="C9" i="21"/>
  <c r="C7" i="23" s="1"/>
  <c r="B9" i="21"/>
  <c r="B7" i="23" s="1"/>
  <c r="AM5" i="23" l="1"/>
  <c r="AN5" i="23" s="1"/>
  <c r="AO5" i="23" s="1"/>
  <c r="AP5" i="23" s="1"/>
  <c r="AK2" i="24"/>
  <c r="AK4" i="24"/>
  <c r="AK13" i="24" s="1"/>
  <c r="F10" i="16"/>
  <c r="E10" i="16"/>
  <c r="AC3" i="21"/>
  <c r="AB2" i="21"/>
  <c r="AB4" i="21"/>
  <c r="AB4" i="20"/>
  <c r="AB2" i="20"/>
  <c r="AC3" i="20"/>
  <c r="AD16" i="25"/>
  <c r="AD14" i="25"/>
  <c r="AC11" i="23" s="1"/>
  <c r="AE4" i="25"/>
  <c r="AE13" i="25" s="1"/>
  <c r="AB15" i="25"/>
  <c r="AC15" i="25"/>
  <c r="AF3" i="25"/>
  <c r="AE2" i="25"/>
  <c r="AD14" i="24"/>
  <c r="AC9" i="23" s="1"/>
  <c r="H9" i="16" s="1"/>
  <c r="AD16" i="24"/>
  <c r="AD4" i="24"/>
  <c r="AD13" i="24" s="1"/>
  <c r="AC15" i="24"/>
  <c r="A1" i="31"/>
  <c r="C13" i="30"/>
  <c r="C14" i="30" s="1"/>
  <c r="D3" i="31" s="1"/>
  <c r="E13" i="30"/>
  <c r="C7" i="29"/>
  <c r="G12" i="30" s="1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D8" i="23" s="1"/>
  <c r="D10" i="23" s="1"/>
  <c r="E6" i="23"/>
  <c r="E8" i="23" s="1"/>
  <c r="E10" i="23" s="1"/>
  <c r="F6" i="23"/>
  <c r="F8" i="23" s="1"/>
  <c r="F10" i="23" s="1"/>
  <c r="G6" i="23"/>
  <c r="G8" i="23" s="1"/>
  <c r="G10" i="23" s="1"/>
  <c r="H6" i="23"/>
  <c r="H8" i="23" s="1"/>
  <c r="H10" i="23" s="1"/>
  <c r="I6" i="23"/>
  <c r="I8" i="23" s="1"/>
  <c r="I10" i="23" s="1"/>
  <c r="V6" i="23"/>
  <c r="W6" i="23"/>
  <c r="W8" i="23" s="1"/>
  <c r="W10" i="23" s="1"/>
  <c r="X6" i="23"/>
  <c r="X8" i="23" s="1"/>
  <c r="X10" i="23" s="1"/>
  <c r="Y6" i="23"/>
  <c r="Y8" i="23" s="1"/>
  <c r="Y10" i="23" s="1"/>
  <c r="Z6" i="23"/>
  <c r="Z8" i="23" s="1"/>
  <c r="Z10" i="23" s="1"/>
  <c r="AA6" i="23"/>
  <c r="AA8" i="23" s="1"/>
  <c r="AB6" i="23"/>
  <c r="AC6" i="23"/>
  <c r="AC8" i="23" s="1"/>
  <c r="AC10" i="23" s="1"/>
  <c r="AD6" i="23"/>
  <c r="AD8" i="23" s="1"/>
  <c r="AD10" i="23" s="1"/>
  <c r="AE6" i="23"/>
  <c r="AE8" i="23" s="1"/>
  <c r="AE10" i="23" s="1"/>
  <c r="AF8" i="23"/>
  <c r="AF10" i="23" s="1"/>
  <c r="AG6" i="23"/>
  <c r="AG8" i="23" s="1"/>
  <c r="AG10" i="23" s="1"/>
  <c r="V8" i="23"/>
  <c r="V10" i="23" s="1"/>
  <c r="AA10" i="23"/>
  <c r="AB8" i="23"/>
  <c r="AB10" i="23" s="1"/>
  <c r="K6" i="23"/>
  <c r="K8" i="23" s="1"/>
  <c r="K10" i="23" s="1"/>
  <c r="L6" i="23"/>
  <c r="L8" i="23" s="1"/>
  <c r="L10" i="23" s="1"/>
  <c r="M6" i="23"/>
  <c r="M8" i="23" s="1"/>
  <c r="M10" i="23" s="1"/>
  <c r="N6" i="23"/>
  <c r="N8" i="23" s="1"/>
  <c r="N10" i="23" s="1"/>
  <c r="O6" i="23"/>
  <c r="O8" i="23" s="1"/>
  <c r="O10" i="23" s="1"/>
  <c r="P6" i="23"/>
  <c r="P8" i="23" s="1"/>
  <c r="P10" i="23" s="1"/>
  <c r="Q6" i="23"/>
  <c r="Q8" i="23" s="1"/>
  <c r="Q10" i="23" s="1"/>
  <c r="R6" i="23"/>
  <c r="R8" i="23" s="1"/>
  <c r="R10" i="23" s="1"/>
  <c r="S6" i="23"/>
  <c r="S8" i="23" s="1"/>
  <c r="S10" i="23" s="1"/>
  <c r="T6" i="23"/>
  <c r="T8" i="23" s="1"/>
  <c r="T10" i="23" s="1"/>
  <c r="U6" i="23"/>
  <c r="U8" i="23" s="1"/>
  <c r="U10" i="23" s="1"/>
  <c r="J6" i="23"/>
  <c r="J8" i="23" s="1"/>
  <c r="J10" i="23" s="1"/>
  <c r="B5" i="16" l="1"/>
  <c r="AN9" i="23" s="1"/>
  <c r="AQ5" i="23"/>
  <c r="AD3" i="21"/>
  <c r="AC2" i="21"/>
  <c r="AC4" i="21" s="1"/>
  <c r="AC4" i="20"/>
  <c r="AC2" i="20"/>
  <c r="AD3" i="20"/>
  <c r="AE14" i="25"/>
  <c r="AD11" i="23" s="1"/>
  <c r="AE16" i="25"/>
  <c r="AF2" i="25"/>
  <c r="AF4" i="25" s="1"/>
  <c r="AF13" i="25" s="1"/>
  <c r="AD15" i="25"/>
  <c r="AD15" i="24"/>
  <c r="I9" i="29"/>
  <c r="C15" i="30"/>
  <c r="E14" i="30"/>
  <c r="AK11" i="23" l="1"/>
  <c r="AO9" i="23"/>
  <c r="AP9" i="23"/>
  <c r="AL11" i="23"/>
  <c r="AM11" i="23"/>
  <c r="AO11" i="23"/>
  <c r="AP11" i="23"/>
  <c r="AM9" i="23"/>
  <c r="AN11" i="23"/>
  <c r="AR5" i="23"/>
  <c r="AQ11" i="23"/>
  <c r="AQ9" i="23"/>
  <c r="AE3" i="21"/>
  <c r="AD2" i="21"/>
  <c r="AD4" i="21" s="1"/>
  <c r="AD4" i="20"/>
  <c r="AD2" i="20"/>
  <c r="AE3" i="20"/>
  <c r="AE15" i="25"/>
  <c r="AF14" i="25"/>
  <c r="AF16" i="25"/>
  <c r="C16" i="30"/>
  <c r="E15" i="30"/>
  <c r="F14" i="30"/>
  <c r="B3" i="31"/>
  <c r="AF3" i="21" l="1"/>
  <c r="AE11" i="23"/>
  <c r="I9" i="16" s="1"/>
  <c r="AS5" i="23"/>
  <c r="AR9" i="23"/>
  <c r="AR11" i="23"/>
  <c r="AE2" i="21"/>
  <c r="AE4" i="21" s="1"/>
  <c r="AE4" i="20"/>
  <c r="AE2" i="20"/>
  <c r="AF15" i="25"/>
  <c r="E16" i="30"/>
  <c r="C17" i="30"/>
  <c r="AF2" i="21" l="1"/>
  <c r="AF4" i="21" s="1"/>
  <c r="AG3" i="21"/>
  <c r="F12" i="16"/>
  <c r="AT5" i="23"/>
  <c r="AS11" i="23"/>
  <c r="I11" i="16" s="1"/>
  <c r="AS9" i="23"/>
  <c r="H12" i="16" s="1"/>
  <c r="F11" i="16"/>
  <c r="E11" i="16"/>
  <c r="E17" i="30"/>
  <c r="C18" i="30"/>
  <c r="AH3" i="21" l="1"/>
  <c r="AG2" i="21"/>
  <c r="AG4" i="21" s="1"/>
  <c r="AU5" i="23"/>
  <c r="AT9" i="23"/>
  <c r="AT11" i="23"/>
  <c r="I12" i="16"/>
  <c r="E18" i="30"/>
  <c r="C19" i="30"/>
  <c r="AI3" i="21" l="1"/>
  <c r="AJ3" i="21" s="1"/>
  <c r="AH2" i="21"/>
  <c r="AV5" i="23"/>
  <c r="AU11" i="23"/>
  <c r="AU9" i="23"/>
  <c r="H11" i="16"/>
  <c r="E19" i="30"/>
  <c r="C20" i="30"/>
  <c r="AI2" i="21" l="1"/>
  <c r="AI4" i="21" s="1"/>
  <c r="AH4" i="21"/>
  <c r="AW5" i="23"/>
  <c r="AV9" i="23"/>
  <c r="AV11" i="23"/>
  <c r="E20" i="30"/>
  <c r="C21" i="30"/>
  <c r="AJ2" i="21" l="1"/>
  <c r="AJ4" i="21" s="1"/>
  <c r="AX5" i="23"/>
  <c r="AW11" i="23"/>
  <c r="AW9" i="23"/>
  <c r="E21" i="30"/>
  <c r="C22" i="30"/>
  <c r="AY5" i="23" l="1"/>
  <c r="AX11" i="23"/>
  <c r="AX9" i="23"/>
  <c r="E22" i="30"/>
  <c r="C23" i="30"/>
  <c r="AZ5" i="23" l="1"/>
  <c r="AY11" i="23"/>
  <c r="AY9" i="23"/>
  <c r="E23" i="30"/>
  <c r="C24" i="30"/>
  <c r="BA5" i="23" l="1"/>
  <c r="AZ11" i="23"/>
  <c r="AZ9" i="23"/>
  <c r="E24" i="30"/>
  <c r="C25" i="30"/>
  <c r="BB5" i="23" l="1"/>
  <c r="BA11" i="23"/>
  <c r="BA9" i="23"/>
  <c r="E25" i="30"/>
  <c r="C26" i="30"/>
  <c r="BC5" i="23" l="1"/>
  <c r="BB11" i="23"/>
  <c r="BB9" i="23"/>
  <c r="C27" i="30"/>
  <c r="D4" i="31"/>
  <c r="C4" i="31" s="1"/>
  <c r="E26" i="30"/>
  <c r="BD5" i="23" l="1"/>
  <c r="BC9" i="23"/>
  <c r="BC11" i="23"/>
  <c r="F26" i="30"/>
  <c r="B4" i="31"/>
  <c r="C28" i="30"/>
  <c r="E27" i="30"/>
  <c r="BE5" i="23" l="1"/>
  <c r="E12" i="16" s="1"/>
  <c r="BD11" i="23"/>
  <c r="BD9" i="23"/>
  <c r="C29" i="30"/>
  <c r="E28" i="30"/>
  <c r="E13" i="16" l="1"/>
  <c r="F13" i="16"/>
  <c r="BE9" i="23"/>
  <c r="H13" i="16" s="1"/>
  <c r="BE11" i="23"/>
  <c r="I13" i="16" s="1"/>
  <c r="C30" i="30"/>
  <c r="E29" i="30"/>
  <c r="C31" i="30" l="1"/>
  <c r="E30" i="30"/>
  <c r="C32" i="30" l="1"/>
  <c r="E31" i="30"/>
  <c r="C33" i="30" l="1"/>
  <c r="E32" i="30"/>
  <c r="C34" i="30" l="1"/>
  <c r="E33" i="30"/>
  <c r="C35" i="30" l="1"/>
  <c r="E34" i="30"/>
  <c r="C36" i="30" l="1"/>
  <c r="E35" i="30"/>
  <c r="C37" i="30" l="1"/>
  <c r="E36" i="30"/>
  <c r="C38" i="30" l="1"/>
  <c r="E37" i="30"/>
  <c r="D5" i="31" l="1"/>
  <c r="C5" i="31" s="1"/>
  <c r="C39" i="30"/>
  <c r="E38" i="30"/>
  <c r="E39" i="30" l="1"/>
  <c r="C40" i="30"/>
  <c r="B5" i="31"/>
  <c r="F38" i="30"/>
  <c r="E40" i="30" l="1"/>
  <c r="C41" i="30"/>
  <c r="E41" i="30" l="1"/>
  <c r="C42" i="30"/>
  <c r="E42" i="30" l="1"/>
  <c r="C43" i="30"/>
  <c r="E43" i="30" l="1"/>
  <c r="C44" i="30"/>
  <c r="E44" i="30" l="1"/>
  <c r="C45" i="30"/>
  <c r="E45" i="30" l="1"/>
  <c r="C46" i="30"/>
  <c r="E46" i="30" l="1"/>
  <c r="C47" i="30"/>
  <c r="E47" i="30" l="1"/>
  <c r="C48" i="30"/>
  <c r="E48" i="30" l="1"/>
  <c r="C49" i="30"/>
  <c r="E49" i="30" l="1"/>
  <c r="C50" i="30"/>
  <c r="C51" i="30" l="1"/>
  <c r="D6" i="31"/>
  <c r="C6" i="31" s="1"/>
  <c r="E50" i="30"/>
  <c r="F50" i="30" l="1"/>
  <c r="B6" i="31"/>
  <c r="C52" i="30"/>
  <c r="E51" i="30"/>
  <c r="C53" i="30" l="1"/>
  <c r="E52" i="30"/>
  <c r="C54" i="30" l="1"/>
  <c r="E53" i="30"/>
  <c r="C55" i="30" l="1"/>
  <c r="E54" i="30"/>
  <c r="C56" i="30" l="1"/>
  <c r="E55" i="30"/>
  <c r="C57" i="30" l="1"/>
  <c r="E56" i="30"/>
  <c r="C58" i="30" l="1"/>
  <c r="E57" i="30"/>
  <c r="C59" i="30" l="1"/>
  <c r="E58" i="30"/>
  <c r="C60" i="30" l="1"/>
  <c r="E59" i="30"/>
  <c r="C61" i="30" l="1"/>
  <c r="E60" i="30"/>
  <c r="C62" i="30" l="1"/>
  <c r="E61" i="30"/>
  <c r="D7" i="31" l="1"/>
  <c r="C7" i="31" s="1"/>
  <c r="E62" i="30"/>
  <c r="B7" i="31" s="1"/>
  <c r="G10" i="16" l="1"/>
  <c r="B4" i="16" s="1"/>
  <c r="AM7" i="23" s="1"/>
  <c r="AT7" i="23" l="1"/>
  <c r="AX7" i="23"/>
  <c r="BB7" i="23"/>
  <c r="AU7" i="23"/>
  <c r="AY7" i="23"/>
  <c r="BC7" i="23"/>
  <c r="AV7" i="23"/>
  <c r="AZ7" i="23"/>
  <c r="BD7" i="23"/>
  <c r="AW7" i="23"/>
  <c r="BA7" i="23"/>
  <c r="BE7" i="23"/>
  <c r="AS7" i="23"/>
  <c r="AQ7" i="23"/>
  <c r="AR7" i="23"/>
  <c r="AN7" i="23"/>
  <c r="AO7" i="23"/>
  <c r="AP7" i="23"/>
  <c r="G13" i="16" l="1"/>
  <c r="G12" i="16"/>
  <c r="G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 Morgan</author>
  </authors>
  <commentList>
    <comment ref="AK5" authorId="0" shapeId="0" xr:uid="{C7B663B0-2581-4C90-B0F2-AD6792DA56A1}">
      <text>
        <r>
          <rPr>
            <b/>
            <sz val="9"/>
            <color indexed="81"/>
            <rFont val="Tahoma"/>
            <family val="2"/>
          </rPr>
          <t>L Morgan:</t>
        </r>
        <r>
          <rPr>
            <sz val="9"/>
            <color indexed="81"/>
            <rFont val="Tahoma"/>
            <family val="2"/>
          </rPr>
          <t xml:space="preserve">
From Response to PA-TAP-3.xlsx</t>
        </r>
      </text>
    </comment>
    <comment ref="AL5" authorId="0" shapeId="0" xr:uid="{E45214E8-E553-476F-BE8B-068B46D95E8F}">
      <text>
        <r>
          <rPr>
            <b/>
            <sz val="9"/>
            <color indexed="81"/>
            <rFont val="Tahoma"/>
            <charset val="1"/>
          </rPr>
          <t>L Morgan:</t>
        </r>
        <r>
          <rPr>
            <sz val="9"/>
            <color indexed="81"/>
            <rFont val="Tahoma"/>
            <charset val="1"/>
          </rPr>
          <t xml:space="preserve">
From Response to PA-TAP-3.xlsx</t>
        </r>
      </text>
    </comment>
    <comment ref="AK7" authorId="0" shapeId="0" xr:uid="{783261F4-3E69-4759-BFBE-68FC1C941815}">
      <text>
        <r>
          <rPr>
            <b/>
            <sz val="9"/>
            <color indexed="81"/>
            <rFont val="Tahoma"/>
            <charset val="1"/>
          </rPr>
          <t>L Morgan:</t>
        </r>
        <r>
          <rPr>
            <sz val="9"/>
            <color indexed="81"/>
            <rFont val="Tahoma"/>
            <charset val="1"/>
          </rPr>
          <t xml:space="preserve">
From Response to PA-TAP-3.xlsx</t>
        </r>
      </text>
    </comment>
    <comment ref="AL7" authorId="0" shapeId="0" xr:uid="{C9A96125-88BD-41B0-8B6D-FFBDF67754CD}">
      <text>
        <r>
          <rPr>
            <b/>
            <sz val="9"/>
            <color indexed="81"/>
            <rFont val="Tahoma"/>
            <charset val="1"/>
          </rPr>
          <t>L Morgan:</t>
        </r>
        <r>
          <rPr>
            <sz val="9"/>
            <color indexed="81"/>
            <rFont val="Tahoma"/>
            <charset val="1"/>
          </rPr>
          <t xml:space="preserve">
From Response to PA-TAP-3.xlsx</t>
        </r>
      </text>
    </comment>
    <comment ref="AK9" authorId="0" shapeId="0" xr:uid="{6FFC85D8-A3E5-44F6-AB38-DBAE21E205B9}">
      <text>
        <r>
          <rPr>
            <b/>
            <sz val="9"/>
            <color indexed="81"/>
            <rFont val="Tahoma"/>
            <charset val="1"/>
          </rPr>
          <t>L Morgan:</t>
        </r>
        <r>
          <rPr>
            <sz val="9"/>
            <color indexed="81"/>
            <rFont val="Tahoma"/>
            <charset val="1"/>
          </rPr>
          <t xml:space="preserve">
From Response to PA-TAP-3.xlsx</t>
        </r>
      </text>
    </comment>
    <comment ref="AL9" authorId="0" shapeId="0" xr:uid="{20F2D281-7C86-4EAA-AA19-85FC03A145CA}">
      <text>
        <r>
          <rPr>
            <b/>
            <sz val="9"/>
            <color indexed="81"/>
            <rFont val="Tahoma"/>
            <charset val="1"/>
          </rPr>
          <t>L Morgan:</t>
        </r>
        <r>
          <rPr>
            <sz val="9"/>
            <color indexed="81"/>
            <rFont val="Tahoma"/>
            <charset val="1"/>
          </rPr>
          <t xml:space="preserve">
From Response to PA-TAP-3.xlsx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<sst xmlns="http://schemas.openxmlformats.org/spreadsheetml/2006/main" count="244" uniqueCount="139">
  <si>
    <t>2023 TAP Reconcilable Rider Reports and Projection Model</t>
  </si>
  <si>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</si>
  <si>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</si>
  <si>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</si>
  <si>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</si>
  <si>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</si>
  <si>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</si>
  <si>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</si>
  <si>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</si>
  <si>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</si>
  <si>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</si>
  <si>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</si>
  <si>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</si>
  <si>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</si>
  <si>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</si>
  <si>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</si>
  <si>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</si>
  <si>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</si>
  <si>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</si>
  <si>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</si>
  <si>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</si>
  <si>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</si>
  <si>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Assumption</t>
  </si>
  <si>
    <t>Scenario</t>
  </si>
  <si>
    <t>TAP Subscription Projection</t>
  </si>
  <si>
    <t>Increasing</t>
  </si>
  <si>
    <t>due to prequalification efforts and recertification change</t>
  </si>
  <si>
    <t>Monthly Cost per TAP Participant*</t>
  </si>
  <si>
    <t>and projected to be flat over time</t>
  </si>
  <si>
    <t>Monthly Consumption per TAP Participant*</t>
  </si>
  <si>
    <t>CF and projected to be flat over time</t>
  </si>
  <si>
    <t>*Per Participant Data (based on Reconciled Period and Most Recent Period - Actual Data)</t>
  </si>
  <si>
    <t>Average Monthly Number of TAP Participants</t>
  </si>
  <si>
    <t>Total Number of TAP Participants</t>
  </si>
  <si>
    <t>Total TAP Discount</t>
  </si>
  <si>
    <t>Total TAP Water Consumption (CCF)</t>
  </si>
  <si>
    <t>Total TAP Sewer Consumption (CCF)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</si>
  <si>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</si>
  <si>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</si>
  <si>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</si>
  <si>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</si>
  <si>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</si>
  <si>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</si>
  <si>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</si>
  <si>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</si>
  <si>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</si>
  <si>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</si>
  <si>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</si>
  <si>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</si>
  <si>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</si>
  <si>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</si>
  <si>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</si>
  <si>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Sewer Consumption</t>
  </si>
  <si>
    <t>Data in DR_1, DR_2, DR_3A Participants, and DR_4 are from reports run on a static copy of basis2 as of</t>
  </si>
  <si>
    <t>Data aquired for months</t>
  </si>
  <si>
    <t>January 2020</t>
  </si>
  <si>
    <t>through</t>
  </si>
  <si>
    <t>November 2022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</si>
  <si>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</si>
  <si>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</si>
  <si>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</si>
  <si>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</si>
  <si>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</si>
  <si>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</si>
  <si>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</si>
  <si>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</si>
  <si>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</si>
  <si>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</si>
  <si>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</si>
  <si>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</si>
  <si>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 xml:space="preserve">*Senior Citizen Discount figures represent only those Senior Citizen </t>
  </si>
  <si>
    <t xml:space="preserve">Discount customers not enrolled in TAP. Senior Citizen Discount customers </t>
  </si>
  <si>
    <t>enrolled in TAP are included in the TAP Customer Group.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</si>
  <si>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</si>
  <si>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</si>
  <si>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</si>
  <si>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</si>
  <si>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</si>
  <si>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</si>
  <si>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</si>
  <si>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</si>
  <si>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</si>
  <si>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</si>
  <si>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</si>
  <si>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</si>
  <si>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</si>
  <si>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</si>
  <si>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</si>
  <si>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</si>
  <si>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</si>
  <si>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</si>
  <si>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</si>
  <si>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</si>
  <si>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</si>
  <si>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</si>
  <si>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</si>
  <si>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</si>
  <si>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</si>
  <si>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</si>
  <si>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</si>
  <si>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</si>
  <si>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</si>
  <si>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</si>
  <si>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</si>
  <si>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</si>
  <si>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</si>
  <si>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</si>
  <si>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</si>
  <si>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</si>
  <si>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</si>
  <si>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</si>
  <si>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</si>
  <si>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</si>
  <si>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</si>
  <si>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</si>
  <si>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</si>
  <si>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</si>
  <si>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</si>
  <si>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</si>
  <si>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</si>
  <si>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</si>
  <si>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</si>
  <si>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</si>
  <si>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</si>
  <si>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</si>
  <si>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</si>
  <si>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</si>
  <si>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</si>
  <si>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</si>
  <si>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</si>
  <si>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</si>
  <si>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</si>
  <si>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</si>
  <si>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</si>
  <si>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</si>
  <si>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</si>
  <si>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</si>
  <si>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</si>
  <si>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Customer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</si>
</sst>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/>
      <right style="medium">
        <color theme="8"/>
      </right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</cellStyleXfs>
  <cellXfs count="173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6" borderId="0" xfId="0" applyFill="1"/>
    <xf numFmtId="0" fontId="25" fillId="36" borderId="0" xfId="0" applyFont="1" applyFill="1"/>
    <xf numFmtId="0" fontId="0" fillId="36" borderId="0" xfId="0" applyFill="1" applyAlignment="1">
      <alignment horizontal="right"/>
    </xf>
    <xf numFmtId="0" fontId="14" fillId="36" borderId="0" xfId="0" applyFont="1" applyFill="1"/>
    <xf numFmtId="14" fontId="14" fillId="36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3" xfId="0" applyFont="1" applyBorder="1" applyAlignment="1">
      <alignment horizontal="center"/>
    </xf>
    <xf numFmtId="0" fontId="29" fillId="37" borderId="13" xfId="0" applyFont="1" applyFill="1" applyBorder="1"/>
    <xf numFmtId="164" fontId="29" fillId="37" borderId="13" xfId="42" applyNumberFormat="1" applyFont="1" applyFill="1" applyBorder="1"/>
    <xf numFmtId="0" fontId="0" fillId="0" borderId="0" xfId="0" applyAlignment="1">
      <alignment horizontal="right"/>
    </xf>
    <xf numFmtId="9" fontId="30" fillId="0" borderId="14" xfId="44" applyFont="1" applyFill="1" applyBorder="1"/>
    <xf numFmtId="0" fontId="29" fillId="0" borderId="15" xfId="0" applyFont="1" applyBorder="1"/>
    <xf numFmtId="164" fontId="29" fillId="0" borderId="15" xfId="42" applyNumberFormat="1" applyFont="1" applyBorder="1"/>
    <xf numFmtId="164" fontId="31" fillId="0" borderId="0" xfId="42" applyNumberFormat="1" applyFont="1"/>
    <xf numFmtId="164" fontId="30" fillId="0" borderId="14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4" xfId="43" applyFont="1" applyFill="1" applyBorder="1"/>
    <xf numFmtId="43" fontId="0" fillId="0" borderId="0" xfId="42" applyFont="1"/>
    <xf numFmtId="10" fontId="30" fillId="0" borderId="14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9" xfId="44" applyNumberFormat="1" applyFont="1" applyFill="1" applyBorder="1"/>
    <xf numFmtId="164" fontId="35" fillId="0" borderId="0" xfId="42" applyNumberFormat="1" applyFont="1" applyBorder="1"/>
    <xf numFmtId="0" fontId="0" fillId="0" borderId="18" xfId="0" applyBorder="1"/>
    <xf numFmtId="164" fontId="35" fillId="0" borderId="18" xfId="42" applyNumberFormat="1" applyFont="1" applyBorder="1"/>
    <xf numFmtId="10" fontId="19" fillId="33" borderId="20" xfId="44" applyNumberFormat="1" applyFont="1" applyFill="1" applyBorder="1"/>
    <xf numFmtId="44" fontId="35" fillId="0" borderId="18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7" xfId="44" applyNumberFormat="1" applyFont="1" applyFill="1" applyBorder="1"/>
    <xf numFmtId="0" fontId="0" fillId="38" borderId="0" xfId="0" applyFill="1"/>
    <xf numFmtId="164" fontId="35" fillId="38" borderId="0" xfId="42" applyNumberFormat="1" applyFont="1" applyFill="1"/>
    <xf numFmtId="164" fontId="28" fillId="0" borderId="13" xfId="42" applyNumberFormat="1" applyFont="1" applyBorder="1" applyAlignment="1">
      <alignment horizontal="center"/>
    </xf>
    <xf numFmtId="164" fontId="28" fillId="0" borderId="13" xfId="42" applyNumberFormat="1" applyFont="1" applyBorder="1" applyAlignment="1">
      <alignment horizontal="center" wrapText="1"/>
    </xf>
    <xf numFmtId="165" fontId="29" fillId="37" borderId="13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7" borderId="0" xfId="0" applyFont="1" applyFill="1"/>
    <xf numFmtId="165" fontId="29" fillId="37" borderId="0" xfId="43" applyNumberFormat="1" applyFont="1" applyFill="1"/>
    <xf numFmtId="9" fontId="29" fillId="37" borderId="0" xfId="44" applyFont="1" applyFill="1"/>
    <xf numFmtId="164" fontId="29" fillId="37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2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8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0" fontId="0" fillId="0" borderId="15" xfId="0" applyBorder="1"/>
    <xf numFmtId="164" fontId="23" fillId="0" borderId="0" xfId="46" applyNumberFormat="1"/>
    <xf numFmtId="166" fontId="20" fillId="0" borderId="0" xfId="46" applyNumberFormat="1" applyFont="1"/>
    <xf numFmtId="0" fontId="37" fillId="0" borderId="27" xfId="0" applyFont="1" applyBorder="1"/>
    <xf numFmtId="0" fontId="38" fillId="0" borderId="25" xfId="0" applyFont="1" applyBorder="1"/>
    <xf numFmtId="0" fontId="39" fillId="0" borderId="25" xfId="0" applyFont="1" applyBorder="1"/>
    <xf numFmtId="0" fontId="40" fillId="0" borderId="25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1" borderId="0" xfId="0" applyFill="1"/>
    <xf numFmtId="0" fontId="0" fillId="0" borderId="0" xfId="0" applyAlignment="1">
      <alignment wrapText="1"/>
    </xf>
    <xf numFmtId="0" fontId="41" fillId="0" borderId="0" xfId="0" applyFont="1" applyAlignment="1">
      <alignment horizontal="left" indent="1"/>
    </xf>
    <xf numFmtId="0" fontId="0" fillId="0" borderId="0" xfId="43" applyNumberFormat="1" applyFont="1" applyAlignment="1">
      <alignment wrapText="1"/>
    </xf>
    <xf numFmtId="0" fontId="16" fillId="0" borderId="24" xfId="0" applyFont="1" applyBorder="1" applyAlignment="1">
      <alignment horizontal="center" vertical="center" wrapText="1"/>
    </xf>
    <xf numFmtId="17" fontId="0" fillId="0" borderId="0" xfId="0" quotePrefix="1" applyNumberFormat="1"/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/>
    <xf numFmtId="0" fontId="38" fillId="0" borderId="0" xfId="0" applyFont="1"/>
    <xf numFmtId="0" fontId="0" fillId="0" borderId="0" xfId="0" applyAlignment="1">
      <alignment horizontal="right" wrapText="1"/>
    </xf>
    <xf numFmtId="0" fontId="0" fillId="0" borderId="0" xfId="43" applyNumberFormat="1" applyFont="1" applyAlignment="1">
      <alignment horizontal="right" wrapText="1"/>
    </xf>
    <xf numFmtId="0" fontId="37" fillId="0" borderId="28" xfId="0" applyFont="1" applyBorder="1"/>
    <xf numFmtId="0" fontId="0" fillId="0" borderId="0" xfId="0" quotePrefix="1"/>
    <xf numFmtId="10" fontId="19" fillId="33" borderId="12" xfId="44" applyNumberFormat="1" applyFont="1" applyFill="1" applyBorder="1"/>
    <xf numFmtId="0" fontId="16" fillId="0" borderId="23" xfId="0" applyFont="1" applyBorder="1" applyAlignment="1">
      <alignment horizontal="center" wrapText="1"/>
    </xf>
    <xf numFmtId="10" fontId="19" fillId="33" borderId="31" xfId="44" applyNumberFormat="1" applyFont="1" applyFill="1" applyBorder="1"/>
    <xf numFmtId="10" fontId="19" fillId="33" borderId="32" xfId="44" applyNumberFormat="1" applyFont="1" applyFill="1" applyBorder="1"/>
    <xf numFmtId="164" fontId="0" fillId="0" borderId="0" xfId="42" applyNumberFormat="1" applyFont="1" applyFill="1" applyBorder="1"/>
    <xf numFmtId="0" fontId="26" fillId="35" borderId="0" xfId="0" applyFont="1" applyFill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1" fillId="34" borderId="37" xfId="46" applyFont="1" applyFill="1" applyBorder="1" applyAlignment="1">
      <alignment horizontal="left"/>
    </xf>
    <xf numFmtId="0" fontId="22" fillId="0" borderId="37" xfId="46" applyFont="1" applyBorder="1" applyAlignment="1">
      <alignment horizontal="right"/>
    </xf>
    <xf numFmtId="0" fontId="22" fillId="0" borderId="38" xfId="46" applyFont="1" applyBorder="1" applyAlignment="1">
      <alignment horizontal="right"/>
    </xf>
    <xf numFmtId="3" fontId="0" fillId="0" borderId="39" xfId="0" applyNumberFormat="1" applyBorder="1"/>
    <xf numFmtId="164" fontId="0" fillId="0" borderId="39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8" xfId="0" quotePrefix="1" applyNumberFormat="1" applyFont="1" applyBorder="1"/>
    <xf numFmtId="0" fontId="17" fillId="0" borderId="0" xfId="0" applyFont="1" applyAlignment="1">
      <alignment vertical="center" wrapText="1"/>
    </xf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8" xfId="43" applyNumberFormat="1" applyFont="1" applyBorder="1"/>
    <xf numFmtId="164" fontId="16" fillId="0" borderId="28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42" borderId="0" xfId="0" applyFont="1" applyFill="1"/>
    <xf numFmtId="0" fontId="13" fillId="40" borderId="0" xfId="0" applyFont="1" applyFill="1"/>
    <xf numFmtId="0" fontId="13" fillId="39" borderId="0" xfId="0" applyFont="1" applyFill="1"/>
    <xf numFmtId="164" fontId="42" fillId="0" borderId="0" xfId="48" applyNumberFormat="1"/>
    <xf numFmtId="164" fontId="42" fillId="0" borderId="18" xfId="48" applyNumberFormat="1" applyBorder="1"/>
    <xf numFmtId="166" fontId="42" fillId="0" borderId="18" xfId="48" applyNumberFormat="1" applyBorder="1"/>
    <xf numFmtId="166" fontId="42" fillId="0" borderId="0" xfId="48" applyNumberFormat="1"/>
    <xf numFmtId="164" fontId="16" fillId="0" borderId="26" xfId="42" applyNumberFormat="1" applyFont="1" applyBorder="1"/>
    <xf numFmtId="164" fontId="0" fillId="0" borderId="26" xfId="42" applyNumberFormat="1" applyFont="1" applyBorder="1"/>
    <xf numFmtId="164" fontId="16" fillId="0" borderId="29" xfId="42" applyNumberFormat="1" applyFont="1" applyFill="1" applyBorder="1"/>
    <xf numFmtId="0" fontId="21" fillId="34" borderId="30" xfId="0" applyFont="1" applyFill="1" applyBorder="1"/>
    <xf numFmtId="10" fontId="19" fillId="33" borderId="36" xfId="44" applyNumberFormat="1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167" fontId="21" fillId="34" borderId="0" xfId="46" applyNumberFormat="1" applyFont="1" applyFill="1" applyAlignment="1">
      <alignment horizontal="center"/>
    </xf>
    <xf numFmtId="0" fontId="43" fillId="0" borderId="0" xfId="0" applyFont="1"/>
    <xf numFmtId="164" fontId="44" fillId="43" borderId="0" xfId="46" applyNumberFormat="1" applyFont="1" applyFill="1"/>
    <xf numFmtId="0" fontId="43" fillId="43" borderId="0" xfId="0" applyFont="1" applyFill="1"/>
    <xf numFmtId="10" fontId="43" fillId="43" borderId="0" xfId="44" applyNumberFormat="1" applyFont="1" applyFill="1"/>
    <xf numFmtId="166" fontId="44" fillId="43" borderId="0" xfId="46" applyNumberFormat="1" applyFont="1" applyFill="1"/>
    <xf numFmtId="164" fontId="43" fillId="43" borderId="0" xfId="42" applyNumberFormat="1" applyFont="1" applyFill="1" applyBorder="1"/>
    <xf numFmtId="0" fontId="43" fillId="43" borderId="34" xfId="0" applyFont="1" applyFill="1" applyBorder="1"/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0" fontId="21" fillId="41" borderId="30" xfId="0" applyFont="1" applyFill="1" applyBorder="1" applyAlignment="1">
      <alignment horizontal="left"/>
    </xf>
    <xf numFmtId="0" fontId="21" fillId="41" borderId="0" xfId="0" applyFont="1" applyFill="1" applyAlignment="1">
      <alignment horizontal="left"/>
    </xf>
    <xf numFmtId="0" fontId="21" fillId="34" borderId="30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/>
    <xf numFmtId="0" fontId="20" fillId="0" borderId="0" xfId="45"/>
    <xf numFmtId="0" fontId="16" fillId="0" borderId="0" xfId="0" applyFont="1" applyAlignment="1">
      <alignment horizontal="center" vertical="center"/>
    </xf>
    <xf numFmtId="9" fontId="29" fillId="33" borderId="16" xfId="0" applyNumberFormat="1" applyFont="1" applyFill="1" applyBorder="1" applyAlignment="1">
      <alignment horizontal="right" vertical="center"/>
    </xf>
    <xf numFmtId="9" fontId="29" fillId="33" borderId="17" xfId="0" applyNumberFormat="1" applyFont="1" applyFill="1" applyBorder="1" applyAlignment="1">
      <alignment horizontal="right" vertical="center"/>
    </xf>
    <xf numFmtId="164" fontId="0" fillId="0" borderId="18" xfId="42" applyNumberFormat="1" applyFont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sphila-my.sharepoint.com/personal/rballenger_clsphila_org/Documents/2023%20TAP%20R/PWD%20Disco%20of%20PA/Response%20PA-TAP-3.xlsx" TargetMode="External"/><Relationship Id="rId1" Type="http://schemas.openxmlformats.org/officeDocument/2006/relationships/externalLinkPath" Target="Response%20PA-TAP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-I-56"/>
    </sheetNames>
    <sheetDataSet>
      <sheetData sheetId="0">
        <row r="69">
          <cell r="E69">
            <v>14684</v>
          </cell>
          <cell r="J69">
            <v>785264.4</v>
          </cell>
          <cell r="K69">
            <v>10758400</v>
          </cell>
        </row>
        <row r="70">
          <cell r="E70">
            <v>15032</v>
          </cell>
          <cell r="J70">
            <v>881508.8</v>
          </cell>
          <cell r="K70">
            <v>12140900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zoomScaleNormal="100" zoomScaleSheetLayoutView="100" zoomScalePageLayoutView="90" workbookViewId="0">
      <selection activeCell="D13" sqref="D13"/>
    </sheetView>
  </sheetViews>
  <sheetFormatPr defaultColWidth="9.08984375" defaultRowHeight="14.5" x14ac:dyDescent="0.35"/>
  <cols>
    <col min="1" max="1" width="12.54296875" style="7" customWidth="1"/>
    <col min="2" max="2" width="9.90625" style="7" bestFit="1" customWidth="1"/>
    <col min="3" max="16384" width="9.08984375" style="7"/>
  </cols>
  <sheetData>
    <row r="2" spans="1:2" x14ac:dyDescent="0.35">
      <c r="B2" s="7" t="s">
        <v>0</v>
      </c>
    </row>
    <row r="3" spans="1:2" ht="26.4" customHeight="1" x14ac:dyDescent="0.65">
      <c r="A3" s="9" t="s">
        <v>1</v>
      </c>
      <c r="B3" s="8" t="s">
        <v>2</v>
      </c>
    </row>
    <row r="4" spans="1:2" x14ac:dyDescent="0.35">
      <c r="A4" s="9"/>
    </row>
    <row r="5" spans="1:2" x14ac:dyDescent="0.35">
      <c r="A5" s="9" t="s">
        <v>3</v>
      </c>
    </row>
    <row r="9" spans="1:2" x14ac:dyDescent="0.35">
      <c r="B9" s="10"/>
    </row>
    <row r="10" spans="1:2" x14ac:dyDescent="0.35">
      <c r="B10" s="10"/>
    </row>
    <row r="11" spans="1:2" x14ac:dyDescent="0.35">
      <c r="B11" s="11"/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showGridLines="0" workbookViewId="0">
      <selection activeCell="G29" sqref="G29"/>
    </sheetView>
  </sheetViews>
  <sheetFormatPr defaultColWidth="9.08984375" defaultRowHeight="14.5" x14ac:dyDescent="0.35"/>
  <cols>
    <col min="1" max="1" width="42.453125" style="15" customWidth="1"/>
    <col min="2" max="2" width="14" style="16" customWidth="1"/>
    <col min="3" max="16384" width="9.08984375" style="15"/>
  </cols>
  <sheetData>
    <row r="1" spans="1:2" ht="30" customHeight="1" x14ac:dyDescent="0.35">
      <c r="A1" s="165" t="s">
        <v>82</v>
      </c>
      <c r="B1" s="166"/>
    </row>
    <row r="2" spans="1:2" x14ac:dyDescent="0.35">
      <c r="A2" s="15" t="s">
        <v>83</v>
      </c>
      <c r="B2" s="16">
        <v>279</v>
      </c>
    </row>
    <row r="3" spans="1:2" x14ac:dyDescent="0.35">
      <c r="A3" s="17" t="s">
        <v>84</v>
      </c>
      <c r="B3" s="18">
        <v>253</v>
      </c>
    </row>
    <row r="4" spans="1:2" x14ac:dyDescent="0.35">
      <c r="A4" s="17" t="s">
        <v>85</v>
      </c>
      <c r="B4" s="18">
        <v>26</v>
      </c>
    </row>
    <row r="6" spans="1:2" x14ac:dyDescent="0.35">
      <c r="A6" s="167" t="s">
        <v>86</v>
      </c>
      <c r="B6" s="168"/>
    </row>
    <row r="7" spans="1:2" x14ac:dyDescent="0.35">
      <c r="A7" s="15" t="s">
        <v>87</v>
      </c>
      <c r="B7" s="16">
        <v>279</v>
      </c>
    </row>
    <row r="9" spans="1:2" ht="30" customHeight="1" x14ac:dyDescent="0.35">
      <c r="A9" s="165" t="s">
        <v>88</v>
      </c>
      <c r="B9" s="166"/>
    </row>
    <row r="10" spans="1:2" x14ac:dyDescent="0.35">
      <c r="A10" s="15" t="s">
        <v>87</v>
      </c>
      <c r="B10" s="16">
        <v>84</v>
      </c>
    </row>
    <row r="11" spans="1:2" x14ac:dyDescent="0.35">
      <c r="A11" s="17" t="s">
        <v>89</v>
      </c>
      <c r="B11" s="18">
        <v>73</v>
      </c>
    </row>
    <row r="12" spans="1:2" x14ac:dyDescent="0.35">
      <c r="A12" s="17" t="s">
        <v>90</v>
      </c>
      <c r="B12" s="18">
        <v>11</v>
      </c>
    </row>
    <row r="13" spans="1:2" x14ac:dyDescent="0.35">
      <c r="A13" s="15" t="s">
        <v>91</v>
      </c>
      <c r="B13" s="16">
        <v>237</v>
      </c>
    </row>
    <row r="14" spans="1:2" x14ac:dyDescent="0.35">
      <c r="A14" s="17" t="s">
        <v>92</v>
      </c>
      <c r="B14" s="18">
        <v>237</v>
      </c>
    </row>
    <row r="15" spans="1:2" x14ac:dyDescent="0.35">
      <c r="A15" s="15" t="s">
        <v>93</v>
      </c>
      <c r="B15" s="16">
        <v>95</v>
      </c>
    </row>
    <row r="16" spans="1:2" x14ac:dyDescent="0.35">
      <c r="A16" s="17" t="s">
        <v>94</v>
      </c>
      <c r="B16" s="18">
        <v>58</v>
      </c>
    </row>
    <row r="17" spans="1:2" x14ac:dyDescent="0.35">
      <c r="A17" s="17" t="s">
        <v>95</v>
      </c>
      <c r="B17" s="18">
        <v>37</v>
      </c>
    </row>
    <row r="18" spans="1:2" x14ac:dyDescent="0.35">
      <c r="A18" s="15" t="s">
        <v>96</v>
      </c>
      <c r="B18" s="16">
        <v>21</v>
      </c>
    </row>
    <row r="19" spans="1:2" x14ac:dyDescent="0.35">
      <c r="A19" s="17" t="s">
        <v>97</v>
      </c>
      <c r="B19" s="18">
        <v>21</v>
      </c>
    </row>
    <row r="20" spans="1:2" x14ac:dyDescent="0.35">
      <c r="A20" s="15" t="s">
        <v>98</v>
      </c>
      <c r="B20" s="16">
        <v>222</v>
      </c>
    </row>
    <row r="21" spans="1:2" x14ac:dyDescent="0.35">
      <c r="A21" s="17" t="s">
        <v>99</v>
      </c>
      <c r="B21" s="18">
        <v>222</v>
      </c>
    </row>
    <row r="22" spans="1:2" x14ac:dyDescent="0.35">
      <c r="A22" s="15" t="s">
        <v>100</v>
      </c>
      <c r="B22" s="16">
        <v>123</v>
      </c>
    </row>
    <row r="23" spans="1:2" x14ac:dyDescent="0.35">
      <c r="A23" s="17" t="s">
        <v>101</v>
      </c>
      <c r="B23" s="18">
        <v>48</v>
      </c>
    </row>
    <row r="24" spans="1:2" x14ac:dyDescent="0.35">
      <c r="A24" s="17" t="s">
        <v>102</v>
      </c>
      <c r="B24" s="18">
        <v>1</v>
      </c>
    </row>
    <row r="25" spans="1:2" x14ac:dyDescent="0.35">
      <c r="A25" s="17" t="s">
        <v>103</v>
      </c>
      <c r="B25" s="18">
        <v>74</v>
      </c>
    </row>
    <row r="26" spans="1:2" x14ac:dyDescent="0.35">
      <c r="A26" s="15" t="s">
        <v>104</v>
      </c>
      <c r="B26" s="16">
        <v>2</v>
      </c>
    </row>
    <row r="27" spans="1:2" x14ac:dyDescent="0.35">
      <c r="A27" s="17" t="s">
        <v>105</v>
      </c>
      <c r="B27" s="18">
        <v>2</v>
      </c>
    </row>
    <row r="30" spans="1:2" ht="30.75" customHeight="1" x14ac:dyDescent="0.35">
      <c r="A30" s="165" t="s">
        <v>106</v>
      </c>
      <c r="B30" s="166"/>
    </row>
    <row r="31" spans="1:2" x14ac:dyDescent="0.35">
      <c r="A31" s="15" t="s">
        <v>83</v>
      </c>
      <c r="B31" s="16">
        <v>10621</v>
      </c>
    </row>
    <row r="33" spans="1:2" x14ac:dyDescent="0.35">
      <c r="A33" s="167" t="s">
        <v>107</v>
      </c>
      <c r="B33" s="168"/>
    </row>
    <row r="34" spans="1:2" x14ac:dyDescent="0.35">
      <c r="A34" s="15" t="s">
        <v>87</v>
      </c>
      <c r="B34" s="16">
        <v>6004</v>
      </c>
    </row>
    <row r="35" spans="1:2" x14ac:dyDescent="0.35">
      <c r="A35" s="15" t="s">
        <v>91</v>
      </c>
      <c r="B35" s="16">
        <v>1501</v>
      </c>
    </row>
    <row r="36" spans="1:2" x14ac:dyDescent="0.35">
      <c r="A36" s="15" t="s">
        <v>108</v>
      </c>
      <c r="B36" s="16">
        <v>9</v>
      </c>
    </row>
    <row r="37" spans="1:2" x14ac:dyDescent="0.35">
      <c r="A37" s="15" t="s">
        <v>93</v>
      </c>
      <c r="B37" s="16">
        <v>313</v>
      </c>
    </row>
    <row r="38" spans="1:2" x14ac:dyDescent="0.35">
      <c r="A38" s="15" t="s">
        <v>96</v>
      </c>
      <c r="B38" s="16">
        <v>155</v>
      </c>
    </row>
    <row r="39" spans="1:2" x14ac:dyDescent="0.35">
      <c r="A39" s="15" t="s">
        <v>98</v>
      </c>
      <c r="B39" s="16">
        <v>362</v>
      </c>
    </row>
    <row r="40" spans="1:2" x14ac:dyDescent="0.35">
      <c r="A40" s="15" t="s">
        <v>100</v>
      </c>
      <c r="B40" s="16">
        <v>2272</v>
      </c>
    </row>
    <row r="41" spans="1:2" x14ac:dyDescent="0.35">
      <c r="A41" s="15" t="s">
        <v>104</v>
      </c>
      <c r="B41" s="16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showGridLines="0" workbookViewId="0">
      <selection activeCell="D23" sqref="D23"/>
    </sheetView>
  </sheetViews>
  <sheetFormatPr defaultColWidth="8.90625" defaultRowHeight="14.5" x14ac:dyDescent="0.35"/>
  <cols>
    <col min="1" max="1" width="2.90625" customWidth="1"/>
    <col min="2" max="2" width="26.453125" bestFit="1" customWidth="1"/>
    <col min="3" max="3" width="9.453125" bestFit="1" customWidth="1"/>
    <col min="8" max="8" width="14.08984375" customWidth="1"/>
    <col min="9" max="9" width="11.453125" bestFit="1" customWidth="1"/>
  </cols>
  <sheetData>
    <row r="2" spans="2:9" x14ac:dyDescent="0.35">
      <c r="B2" s="169" t="s">
        <v>109</v>
      </c>
      <c r="C2" s="169"/>
    </row>
    <row r="3" spans="2:9" x14ac:dyDescent="0.35">
      <c r="H3" s="169" t="s">
        <v>110</v>
      </c>
      <c r="I3" s="169"/>
    </row>
    <row r="4" spans="2:9" x14ac:dyDescent="0.35">
      <c r="B4" s="19" t="s">
        <v>111</v>
      </c>
      <c r="C4" s="19" t="s">
        <v>112</v>
      </c>
    </row>
    <row r="5" spans="2:9" x14ac:dyDescent="0.35">
      <c r="B5" s="20">
        <v>20171105</v>
      </c>
      <c r="C5" s="21">
        <v>1182</v>
      </c>
      <c r="H5" s="22" t="s">
        <v>113</v>
      </c>
      <c r="I5" s="23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35">
      <c r="B6" s="24">
        <v>20171023</v>
      </c>
      <c r="C6" s="25">
        <v>1116</v>
      </c>
    </row>
    <row r="7" spans="2:9" x14ac:dyDescent="0.35">
      <c r="C7" s="26">
        <f>SUM(C5:C6)</f>
        <v>2298</v>
      </c>
      <c r="H7" s="22" t="s">
        <v>114</v>
      </c>
      <c r="I7" s="27">
        <f>'051018 Model_Applications'!B34+'051018 Model_Applications'!B38</f>
        <v>6159</v>
      </c>
    </row>
    <row r="9" spans="2:9" x14ac:dyDescent="0.35">
      <c r="C9" s="28" t="s">
        <v>115</v>
      </c>
      <c r="H9" s="22" t="s">
        <v>116</v>
      </c>
      <c r="I9" s="27">
        <f>ROUND(I7*I5,0)</f>
        <v>3647</v>
      </c>
    </row>
    <row r="10" spans="2:9" ht="4.6500000000000004" customHeight="1" x14ac:dyDescent="0.35">
      <c r="C10" s="2"/>
    </row>
    <row r="11" spans="2:9" x14ac:dyDescent="0.35">
      <c r="B11" s="29" t="s">
        <v>117</v>
      </c>
      <c r="C11" s="30">
        <v>0.84279797514956278</v>
      </c>
    </row>
    <row r="12" spans="2:9" ht="4.6500000000000004" customHeight="1" x14ac:dyDescent="0.35">
      <c r="B12" s="22"/>
    </row>
    <row r="13" spans="2:9" x14ac:dyDescent="0.35">
      <c r="B13" s="22" t="s">
        <v>118</v>
      </c>
      <c r="C13" s="30">
        <v>0.3</v>
      </c>
      <c r="H13" s="22" t="s">
        <v>119</v>
      </c>
      <c r="I13" s="31">
        <v>201801</v>
      </c>
    </row>
    <row r="14" spans="2:9" ht="4.6500000000000004" customHeight="1" x14ac:dyDescent="0.35">
      <c r="B14" s="22"/>
      <c r="C14" s="32"/>
    </row>
    <row r="15" spans="2:9" x14ac:dyDescent="0.35">
      <c r="B15" s="22" t="s">
        <v>120</v>
      </c>
      <c r="C15" s="30">
        <v>0.02</v>
      </c>
      <c r="H15" s="22"/>
      <c r="I15" s="33"/>
    </row>
    <row r="16" spans="2:9" ht="4.6500000000000004" customHeight="1" x14ac:dyDescent="0.35">
      <c r="B16" s="22"/>
    </row>
    <row r="17" spans="2:3" x14ac:dyDescent="0.35">
      <c r="B17" s="22" t="s">
        <v>121</v>
      </c>
      <c r="C17" s="170">
        <v>0.6</v>
      </c>
    </row>
    <row r="18" spans="2:3" x14ac:dyDescent="0.35">
      <c r="B18" s="22" t="s">
        <v>122</v>
      </c>
      <c r="C18" s="171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showGridLines="0" zoomScaleNormal="100" workbookViewId="0">
      <selection activeCell="D23" sqref="D23"/>
    </sheetView>
  </sheetViews>
  <sheetFormatPr defaultColWidth="8.90625" defaultRowHeight="14.5" x14ac:dyDescent="0.35"/>
  <cols>
    <col min="1" max="1" width="2.90625" customWidth="1"/>
    <col min="3" max="3" width="12.08984375" style="1" customWidth="1"/>
    <col min="4" max="4" width="9.453125" style="38" customWidth="1"/>
    <col min="5" max="5" width="14.08984375" customWidth="1"/>
    <col min="6" max="6" width="15" customWidth="1"/>
    <col min="7" max="7" width="9.453125" customWidth="1"/>
  </cols>
  <sheetData>
    <row r="1" spans="2:7" x14ac:dyDescent="0.35">
      <c r="C1" s="172" t="s">
        <v>123</v>
      </c>
      <c r="D1" s="172"/>
      <c r="E1" s="172"/>
      <c r="F1" s="172"/>
      <c r="G1" s="172"/>
    </row>
    <row r="2" spans="2:7" ht="29" x14ac:dyDescent="0.35">
      <c r="C2" s="34" t="s">
        <v>124</v>
      </c>
      <c r="D2" s="35" t="s">
        <v>125</v>
      </c>
      <c r="E2" s="36" t="s">
        <v>126</v>
      </c>
      <c r="F2" s="36" t="s">
        <v>127</v>
      </c>
      <c r="G2" s="36" t="s">
        <v>128</v>
      </c>
    </row>
    <row r="3" spans="2:7" x14ac:dyDescent="0.35">
      <c r="B3">
        <v>201707</v>
      </c>
      <c r="C3" s="37">
        <v>0</v>
      </c>
      <c r="E3" s="39">
        <v>0</v>
      </c>
      <c r="F3" s="1"/>
      <c r="G3" s="1"/>
    </row>
    <row r="4" spans="2:7" x14ac:dyDescent="0.35">
      <c r="B4">
        <v>201708</v>
      </c>
      <c r="C4" s="37">
        <v>765</v>
      </c>
      <c r="E4" s="39">
        <v>41654.159999999974</v>
      </c>
      <c r="F4" s="40">
        <v>54.61</v>
      </c>
      <c r="G4" s="41"/>
    </row>
    <row r="5" spans="2:7" x14ac:dyDescent="0.35">
      <c r="B5">
        <v>201709</v>
      </c>
      <c r="C5" s="37">
        <v>1434</v>
      </c>
      <c r="D5" s="42">
        <f>(C5-C4)/C4</f>
        <v>0.87450980392156863</v>
      </c>
      <c r="E5" s="39">
        <v>92609.250000000102</v>
      </c>
      <c r="G5" s="41"/>
    </row>
    <row r="6" spans="2:7" x14ac:dyDescent="0.35">
      <c r="B6">
        <v>201710</v>
      </c>
      <c r="C6" s="37">
        <v>1992</v>
      </c>
      <c r="D6" s="42">
        <f t="shared" ref="D6:D12" si="0">(C6-C5)/C5</f>
        <v>0.38912133891213391</v>
      </c>
      <c r="E6" s="39">
        <v>112973.10000000002</v>
      </c>
      <c r="G6" s="41"/>
    </row>
    <row r="7" spans="2:7" x14ac:dyDescent="0.35">
      <c r="B7">
        <v>201711</v>
      </c>
      <c r="C7" s="37">
        <v>2615</v>
      </c>
      <c r="D7" s="42">
        <f t="shared" si="0"/>
        <v>0.31275100401606426</v>
      </c>
      <c r="E7" s="43">
        <f t="shared" ref="E7:E62" si="1">C7*F$4</f>
        <v>142805.15</v>
      </c>
      <c r="F7" s="44"/>
      <c r="G7" s="45"/>
    </row>
    <row r="8" spans="2:7" x14ac:dyDescent="0.35">
      <c r="B8">
        <v>201712</v>
      </c>
      <c r="C8" s="37">
        <v>3900</v>
      </c>
      <c r="D8" s="42">
        <f t="shared" si="0"/>
        <v>0.491395793499044</v>
      </c>
      <c r="E8" s="43">
        <f t="shared" si="1"/>
        <v>212979</v>
      </c>
      <c r="F8" s="44"/>
      <c r="G8" s="27">
        <f>'051018 Model_Assumptions'!C13*'051018 Model_Assumptions'!C11*(1-'051018 Model_Assumptions'!C15)*'051018 Model_Assumptions'!C7</f>
        <v>569.40442558674636</v>
      </c>
    </row>
    <row r="9" spans="2:7" x14ac:dyDescent="0.35">
      <c r="B9">
        <v>201801</v>
      </c>
      <c r="C9" s="37">
        <v>5206</v>
      </c>
      <c r="D9" s="42">
        <f t="shared" si="0"/>
        <v>0.33487179487179486</v>
      </c>
      <c r="E9" s="43">
        <f t="shared" si="1"/>
        <v>284299.65999999997</v>
      </c>
      <c r="F9" s="44"/>
      <c r="G9" s="45"/>
    </row>
    <row r="10" spans="2:7" x14ac:dyDescent="0.35">
      <c r="B10">
        <v>201802</v>
      </c>
      <c r="C10" s="37">
        <v>6150</v>
      </c>
      <c r="D10" s="42">
        <f t="shared" si="0"/>
        <v>0.18132923549750288</v>
      </c>
      <c r="E10" s="43">
        <f t="shared" si="1"/>
        <v>335851.5</v>
      </c>
      <c r="F10" s="44"/>
      <c r="G10" s="45"/>
    </row>
    <row r="11" spans="2:7" x14ac:dyDescent="0.35">
      <c r="B11">
        <v>201803</v>
      </c>
      <c r="C11" s="37">
        <v>7197</v>
      </c>
      <c r="D11" s="42">
        <f t="shared" si="0"/>
        <v>0.1702439024390244</v>
      </c>
      <c r="E11" s="43">
        <f t="shared" si="1"/>
        <v>393028.17</v>
      </c>
      <c r="F11" s="44"/>
      <c r="G11" s="45"/>
    </row>
    <row r="12" spans="2:7" x14ac:dyDescent="0.35">
      <c r="B12">
        <v>201804</v>
      </c>
      <c r="C12" s="37">
        <v>8081</v>
      </c>
      <c r="D12" s="46">
        <f t="shared" si="0"/>
        <v>0.12282895650965681</v>
      </c>
      <c r="E12" s="43">
        <f t="shared" si="1"/>
        <v>441303.41</v>
      </c>
      <c r="F12" s="44"/>
      <c r="G12" s="27">
        <f>'051018 Model_Assumptions'!C17*'051018 Model_Assumptions'!C11*'051018 Model_Assumptions'!C7</f>
        <v>1162.049848136217</v>
      </c>
    </row>
    <row r="13" spans="2:7" x14ac:dyDescent="0.35">
      <c r="B13">
        <v>201805</v>
      </c>
      <c r="C13" s="47">
        <f>C12*(1+D13)</f>
        <v>9293.15</v>
      </c>
      <c r="D13" s="3">
        <v>0.15</v>
      </c>
      <c r="E13" s="43">
        <f t="shared" si="1"/>
        <v>507498.9215</v>
      </c>
      <c r="F13" s="44"/>
      <c r="G13" s="45"/>
    </row>
    <row r="14" spans="2:7" x14ac:dyDescent="0.35">
      <c r="B14" s="48">
        <v>201806</v>
      </c>
      <c r="C14" s="49">
        <f>C13*(1+D14)</f>
        <v>10687.122499999999</v>
      </c>
      <c r="D14" s="50">
        <v>0.15</v>
      </c>
      <c r="E14" s="51">
        <f t="shared" si="1"/>
        <v>583623.75972500001</v>
      </c>
      <c r="F14" s="52">
        <f>SUM(E3:E14)</f>
        <v>3148626.0812250003</v>
      </c>
      <c r="G14" s="45"/>
    </row>
    <row r="15" spans="2:7" x14ac:dyDescent="0.35">
      <c r="B15">
        <v>201807</v>
      </c>
      <c r="C15" s="53">
        <f t="shared" ref="C15:C62" si="2">C14*(1+D15)</f>
        <v>11221.478625</v>
      </c>
      <c r="D15" s="54">
        <v>0.05</v>
      </c>
      <c r="E15" s="43">
        <f t="shared" si="1"/>
        <v>612804.94771124993</v>
      </c>
      <c r="F15" s="52"/>
      <c r="G15" s="45"/>
    </row>
    <row r="16" spans="2:7" x14ac:dyDescent="0.35">
      <c r="B16">
        <v>201808</v>
      </c>
      <c r="C16" s="53">
        <f t="shared" si="2"/>
        <v>11782.552556250001</v>
      </c>
      <c r="D16" s="3">
        <v>0.05</v>
      </c>
      <c r="E16" s="43">
        <f t="shared" si="1"/>
        <v>643445.19509681256</v>
      </c>
      <c r="F16" s="52"/>
      <c r="G16" s="45"/>
    </row>
    <row r="17" spans="2:7" x14ac:dyDescent="0.35">
      <c r="B17">
        <v>201809</v>
      </c>
      <c r="C17" s="53">
        <f t="shared" si="2"/>
        <v>12371.680184062501</v>
      </c>
      <c r="D17" s="3">
        <v>0.05</v>
      </c>
      <c r="E17" s="43">
        <f t="shared" si="1"/>
        <v>675617.45485165319</v>
      </c>
      <c r="F17" s="52"/>
      <c r="G17" s="45"/>
    </row>
    <row r="18" spans="2:7" x14ac:dyDescent="0.35">
      <c r="B18">
        <v>201810</v>
      </c>
      <c r="C18" s="53">
        <f t="shared" si="2"/>
        <v>12990.264193265626</v>
      </c>
      <c r="D18" s="3">
        <v>0.05</v>
      </c>
      <c r="E18" s="43">
        <f t="shared" si="1"/>
        <v>709398.32759423589</v>
      </c>
      <c r="F18" s="52"/>
      <c r="G18" s="45"/>
    </row>
    <row r="19" spans="2:7" x14ac:dyDescent="0.35">
      <c r="B19">
        <v>201811</v>
      </c>
      <c r="C19" s="53">
        <f t="shared" si="2"/>
        <v>13250.069477130939</v>
      </c>
      <c r="D19" s="3">
        <v>0.02</v>
      </c>
      <c r="E19" s="43">
        <f t="shared" si="1"/>
        <v>723586.29414612055</v>
      </c>
      <c r="F19" s="52"/>
      <c r="G19" s="41"/>
    </row>
    <row r="20" spans="2:7" x14ac:dyDescent="0.35">
      <c r="B20">
        <v>201812</v>
      </c>
      <c r="C20" s="53">
        <f t="shared" si="2"/>
        <v>13515.070866673557</v>
      </c>
      <c r="D20" s="3">
        <v>0.02</v>
      </c>
      <c r="E20" s="43">
        <f t="shared" si="1"/>
        <v>738058.02002904296</v>
      </c>
      <c r="F20" s="52"/>
      <c r="G20" s="41"/>
    </row>
    <row r="21" spans="2:7" x14ac:dyDescent="0.35">
      <c r="B21">
        <v>201901</v>
      </c>
      <c r="C21" s="53">
        <f t="shared" si="2"/>
        <v>13785.37228400703</v>
      </c>
      <c r="D21" s="3">
        <v>0.02</v>
      </c>
      <c r="E21" s="43">
        <f t="shared" si="1"/>
        <v>752819.18042962393</v>
      </c>
      <c r="F21" s="52"/>
      <c r="G21" s="1"/>
    </row>
    <row r="22" spans="2:7" x14ac:dyDescent="0.35">
      <c r="B22">
        <v>201902</v>
      </c>
      <c r="C22" s="53">
        <f t="shared" si="2"/>
        <v>14061.07972968717</v>
      </c>
      <c r="D22" s="3">
        <v>0.02</v>
      </c>
      <c r="E22" s="43">
        <f t="shared" si="1"/>
        <v>767875.56403821637</v>
      </c>
      <c r="F22" s="52"/>
      <c r="G22" s="1"/>
    </row>
    <row r="23" spans="2:7" x14ac:dyDescent="0.35">
      <c r="B23">
        <v>201903</v>
      </c>
      <c r="C23" s="53">
        <f t="shared" si="2"/>
        <v>14342.301324280914</v>
      </c>
      <c r="D23" s="3">
        <v>0.02</v>
      </c>
      <c r="E23" s="43">
        <f t="shared" si="1"/>
        <v>783233.07531898073</v>
      </c>
      <c r="F23" s="52"/>
      <c r="G23" s="1"/>
    </row>
    <row r="24" spans="2:7" x14ac:dyDescent="0.35">
      <c r="B24">
        <v>201904</v>
      </c>
      <c r="C24" s="53">
        <f t="shared" si="2"/>
        <v>14915.993377252151</v>
      </c>
      <c r="D24" s="3">
        <v>0.04</v>
      </c>
      <c r="E24" s="43">
        <f t="shared" si="1"/>
        <v>814562.39833173994</v>
      </c>
      <c r="F24" s="52"/>
      <c r="G24" s="1"/>
    </row>
    <row r="25" spans="2:7" x14ac:dyDescent="0.35">
      <c r="B25">
        <v>201905</v>
      </c>
      <c r="C25" s="53">
        <f t="shared" si="2"/>
        <v>15512.633112342237</v>
      </c>
      <c r="D25" s="3">
        <v>0.04</v>
      </c>
      <c r="E25" s="43">
        <f t="shared" si="1"/>
        <v>847144.89426500956</v>
      </c>
      <c r="F25" s="52"/>
      <c r="G25" s="1"/>
    </row>
    <row r="26" spans="2:7" x14ac:dyDescent="0.35">
      <c r="B26">
        <v>201906</v>
      </c>
      <c r="C26" s="53">
        <f t="shared" si="2"/>
        <v>16133.138436835927</v>
      </c>
      <c r="D26" s="3">
        <v>0.04</v>
      </c>
      <c r="E26" s="43">
        <f t="shared" si="1"/>
        <v>881030.69003560999</v>
      </c>
      <c r="F26" s="52">
        <f>SUM(E15:E26)</f>
        <v>8949576.0418482944</v>
      </c>
      <c r="G26" s="1"/>
    </row>
    <row r="27" spans="2:7" x14ac:dyDescent="0.35">
      <c r="B27">
        <v>201907</v>
      </c>
      <c r="C27" s="53">
        <f t="shared" si="2"/>
        <v>16617.132589941004</v>
      </c>
      <c r="D27" s="3">
        <v>0.03</v>
      </c>
      <c r="E27" s="43">
        <f t="shared" si="1"/>
        <v>907461.61073667824</v>
      </c>
      <c r="F27" s="52"/>
    </row>
    <row r="28" spans="2:7" x14ac:dyDescent="0.35">
      <c r="B28">
        <v>201908</v>
      </c>
      <c r="C28" s="53">
        <f t="shared" si="2"/>
        <v>17115.646567639236</v>
      </c>
      <c r="D28" s="3">
        <v>0.03</v>
      </c>
      <c r="E28" s="43">
        <f t="shared" si="1"/>
        <v>934685.45905877871</v>
      </c>
      <c r="F28" s="52"/>
    </row>
    <row r="29" spans="2:7" x14ac:dyDescent="0.35">
      <c r="B29">
        <v>201909</v>
      </c>
      <c r="C29" s="53">
        <f t="shared" si="2"/>
        <v>17629.115964668414</v>
      </c>
      <c r="D29" s="3">
        <v>0.03</v>
      </c>
      <c r="E29" s="43">
        <f t="shared" si="1"/>
        <v>962726.02283054206</v>
      </c>
      <c r="F29" s="52"/>
    </row>
    <row r="30" spans="2:7" x14ac:dyDescent="0.35">
      <c r="B30">
        <v>201910</v>
      </c>
      <c r="C30" s="53">
        <f t="shared" si="2"/>
        <v>18157.989443608465</v>
      </c>
      <c r="D30" s="3">
        <v>0.03</v>
      </c>
      <c r="E30" s="43">
        <f t="shared" si="1"/>
        <v>991607.80351545825</v>
      </c>
      <c r="F30" s="52"/>
    </row>
    <row r="31" spans="2:7" x14ac:dyDescent="0.35">
      <c r="B31">
        <v>201911</v>
      </c>
      <c r="C31" s="53">
        <f t="shared" si="2"/>
        <v>18521.149232480635</v>
      </c>
      <c r="D31" s="3">
        <v>0.02</v>
      </c>
      <c r="E31" s="43">
        <f t="shared" si="1"/>
        <v>1011439.9595857675</v>
      </c>
      <c r="F31" s="52"/>
    </row>
    <row r="32" spans="2:7" x14ac:dyDescent="0.35">
      <c r="B32">
        <v>201912</v>
      </c>
      <c r="C32" s="53">
        <f t="shared" si="2"/>
        <v>18891.572217130248</v>
      </c>
      <c r="D32" s="3">
        <v>0.02</v>
      </c>
      <c r="E32" s="43">
        <f t="shared" si="1"/>
        <v>1031668.7587774828</v>
      </c>
      <c r="F32" s="52"/>
    </row>
    <row r="33" spans="2:6" x14ac:dyDescent="0.35">
      <c r="B33">
        <v>202001</v>
      </c>
      <c r="C33" s="53">
        <f t="shared" si="2"/>
        <v>19269.403661472854</v>
      </c>
      <c r="D33" s="3">
        <v>0.02</v>
      </c>
      <c r="E33" s="43">
        <f t="shared" si="1"/>
        <v>1052302.1339530325</v>
      </c>
      <c r="F33" s="52"/>
    </row>
    <row r="34" spans="2:6" x14ac:dyDescent="0.35">
      <c r="B34">
        <v>202002</v>
      </c>
      <c r="C34" s="53">
        <f t="shared" si="2"/>
        <v>19654.79173470231</v>
      </c>
      <c r="D34" s="3">
        <v>0.02</v>
      </c>
      <c r="E34" s="43">
        <f t="shared" si="1"/>
        <v>1073348.1766320933</v>
      </c>
      <c r="F34" s="52"/>
    </row>
    <row r="35" spans="2:6" x14ac:dyDescent="0.35">
      <c r="B35">
        <v>202003</v>
      </c>
      <c r="C35" s="53">
        <f t="shared" si="2"/>
        <v>20047.887569396356</v>
      </c>
      <c r="D35" s="3">
        <v>0.02</v>
      </c>
      <c r="E35" s="43">
        <f t="shared" si="1"/>
        <v>1094815.140164735</v>
      </c>
      <c r="F35" s="52"/>
    </row>
    <row r="36" spans="2:6" x14ac:dyDescent="0.35">
      <c r="B36">
        <v>202004</v>
      </c>
      <c r="C36" s="53">
        <f t="shared" si="2"/>
        <v>20649.324196478246</v>
      </c>
      <c r="D36" s="3">
        <v>0.03</v>
      </c>
      <c r="E36" s="43">
        <f t="shared" si="1"/>
        <v>1127659.5943696771</v>
      </c>
      <c r="F36" s="52"/>
    </row>
    <row r="37" spans="2:6" x14ac:dyDescent="0.35">
      <c r="B37">
        <v>202005</v>
      </c>
      <c r="C37" s="53">
        <f t="shared" si="2"/>
        <v>21268.803922372594</v>
      </c>
      <c r="D37" s="3">
        <v>0.03</v>
      </c>
      <c r="E37" s="43">
        <f t="shared" si="1"/>
        <v>1161489.3822007673</v>
      </c>
      <c r="F37" s="52"/>
    </row>
    <row r="38" spans="2:6" x14ac:dyDescent="0.35">
      <c r="B38">
        <v>202006</v>
      </c>
      <c r="C38" s="53">
        <f t="shared" si="2"/>
        <v>21906.868040043773</v>
      </c>
      <c r="D38" s="3">
        <v>0.03</v>
      </c>
      <c r="E38" s="43">
        <f t="shared" si="1"/>
        <v>1196334.0636667905</v>
      </c>
      <c r="F38" s="52">
        <f>SUM(E27:E38)</f>
        <v>12545538.105491802</v>
      </c>
    </row>
    <row r="39" spans="2:6" x14ac:dyDescent="0.35">
      <c r="B39">
        <v>202007</v>
      </c>
      <c r="C39" s="53">
        <f t="shared" si="2"/>
        <v>22345.00540084465</v>
      </c>
      <c r="D39" s="3">
        <v>0.02</v>
      </c>
      <c r="E39" s="43">
        <f t="shared" si="1"/>
        <v>1220260.7449401263</v>
      </c>
      <c r="F39" s="52"/>
    </row>
    <row r="40" spans="2:6" x14ac:dyDescent="0.35">
      <c r="B40">
        <v>202008</v>
      </c>
      <c r="C40" s="53">
        <f t="shared" si="2"/>
        <v>22791.905508861542</v>
      </c>
      <c r="D40" s="3">
        <v>0.02</v>
      </c>
      <c r="E40" s="43">
        <f t="shared" si="1"/>
        <v>1244665.9598389289</v>
      </c>
      <c r="F40" s="52"/>
    </row>
    <row r="41" spans="2:6" x14ac:dyDescent="0.35">
      <c r="B41">
        <v>202009</v>
      </c>
      <c r="C41" s="53">
        <f t="shared" si="2"/>
        <v>23247.743619038774</v>
      </c>
      <c r="D41" s="3">
        <v>0.02</v>
      </c>
      <c r="E41" s="43">
        <f t="shared" si="1"/>
        <v>1269559.2790357075</v>
      </c>
      <c r="F41" s="52"/>
    </row>
    <row r="42" spans="2:6" x14ac:dyDescent="0.35">
      <c r="B42">
        <v>202010</v>
      </c>
      <c r="C42" s="53">
        <f t="shared" si="2"/>
        <v>23712.698491419549</v>
      </c>
      <c r="D42" s="3">
        <v>0.02</v>
      </c>
      <c r="E42" s="43">
        <f t="shared" si="1"/>
        <v>1294950.4646164216</v>
      </c>
      <c r="F42" s="52"/>
    </row>
    <row r="43" spans="2:6" x14ac:dyDescent="0.35">
      <c r="B43">
        <v>202011</v>
      </c>
      <c r="C43" s="53">
        <f t="shared" si="2"/>
        <v>23712.698491419549</v>
      </c>
      <c r="D43" s="3">
        <v>0</v>
      </c>
      <c r="E43" s="43">
        <f t="shared" si="1"/>
        <v>1294950.4646164216</v>
      </c>
      <c r="F43" s="52"/>
    </row>
    <row r="44" spans="2:6" x14ac:dyDescent="0.35">
      <c r="B44">
        <v>202012</v>
      </c>
      <c r="C44" s="53">
        <f t="shared" si="2"/>
        <v>23712.698491419549</v>
      </c>
      <c r="D44" s="3">
        <v>0</v>
      </c>
      <c r="E44" s="43">
        <f t="shared" si="1"/>
        <v>1294950.4646164216</v>
      </c>
      <c r="F44" s="52"/>
    </row>
    <row r="45" spans="2:6" x14ac:dyDescent="0.35">
      <c r="B45">
        <v>202101</v>
      </c>
      <c r="C45" s="53">
        <f t="shared" si="2"/>
        <v>23712.698491419549</v>
      </c>
      <c r="D45" s="3">
        <v>0</v>
      </c>
      <c r="E45" s="43">
        <f t="shared" si="1"/>
        <v>1294950.4646164216</v>
      </c>
      <c r="F45" s="52"/>
    </row>
    <row r="46" spans="2:6" x14ac:dyDescent="0.35">
      <c r="B46">
        <v>202102</v>
      </c>
      <c r="C46" s="53">
        <f t="shared" si="2"/>
        <v>23712.698491419549</v>
      </c>
      <c r="D46" s="3">
        <v>0</v>
      </c>
      <c r="E46" s="43">
        <f t="shared" si="1"/>
        <v>1294950.4646164216</v>
      </c>
      <c r="F46" s="52"/>
    </row>
    <row r="47" spans="2:6" x14ac:dyDescent="0.35">
      <c r="B47">
        <v>202103</v>
      </c>
      <c r="C47" s="53">
        <f t="shared" si="2"/>
        <v>23712.698491419549</v>
      </c>
      <c r="D47" s="3">
        <v>0</v>
      </c>
      <c r="E47" s="43">
        <f t="shared" si="1"/>
        <v>1294950.4646164216</v>
      </c>
      <c r="F47" s="52"/>
    </row>
    <row r="48" spans="2:6" x14ac:dyDescent="0.35">
      <c r="B48">
        <v>202104</v>
      </c>
      <c r="C48" s="53">
        <f t="shared" si="2"/>
        <v>24186.95246124794</v>
      </c>
      <c r="D48" s="3">
        <v>0.02</v>
      </c>
      <c r="E48" s="43">
        <f t="shared" si="1"/>
        <v>1320849.4739087499</v>
      </c>
      <c r="F48" s="52"/>
    </row>
    <row r="49" spans="2:6" x14ac:dyDescent="0.35">
      <c r="B49">
        <v>202105</v>
      </c>
      <c r="C49" s="53">
        <f t="shared" si="2"/>
        <v>24670.691510472898</v>
      </c>
      <c r="D49" s="3">
        <v>0.02</v>
      </c>
      <c r="E49" s="43">
        <f t="shared" si="1"/>
        <v>1347266.4633869249</v>
      </c>
      <c r="F49" s="52"/>
    </row>
    <row r="50" spans="2:6" x14ac:dyDescent="0.35">
      <c r="B50" s="55">
        <v>202106</v>
      </c>
      <c r="C50" s="56">
        <f t="shared" si="2"/>
        <v>25164.105340682356</v>
      </c>
      <c r="D50" s="3">
        <v>0.02</v>
      </c>
      <c r="E50" s="43">
        <f t="shared" si="1"/>
        <v>1374211.7926546633</v>
      </c>
      <c r="F50" s="52">
        <f>SUM(E39:E50)</f>
        <v>15546516.501463631</v>
      </c>
    </row>
    <row r="51" spans="2:6" x14ac:dyDescent="0.35">
      <c r="B51">
        <v>202107</v>
      </c>
      <c r="C51" s="53">
        <f t="shared" si="2"/>
        <v>25164.105340682356</v>
      </c>
      <c r="D51" s="3">
        <v>0</v>
      </c>
      <c r="E51" s="43">
        <f t="shared" si="1"/>
        <v>1374211.7926546633</v>
      </c>
      <c r="F51" s="52"/>
    </row>
    <row r="52" spans="2:6" x14ac:dyDescent="0.35">
      <c r="B52">
        <v>202108</v>
      </c>
      <c r="C52" s="53">
        <f t="shared" si="2"/>
        <v>25164.105340682356</v>
      </c>
      <c r="D52" s="3">
        <v>0</v>
      </c>
      <c r="E52" s="43">
        <f t="shared" si="1"/>
        <v>1374211.7926546633</v>
      </c>
      <c r="F52" s="52"/>
    </row>
    <row r="53" spans="2:6" x14ac:dyDescent="0.35">
      <c r="B53">
        <v>202109</v>
      </c>
      <c r="C53" s="53">
        <f t="shared" si="2"/>
        <v>25164.105340682356</v>
      </c>
      <c r="D53" s="3">
        <v>0</v>
      </c>
      <c r="E53" s="43">
        <f t="shared" si="1"/>
        <v>1374211.7926546633</v>
      </c>
      <c r="F53" s="52"/>
    </row>
    <row r="54" spans="2:6" x14ac:dyDescent="0.35">
      <c r="B54">
        <v>202110</v>
      </c>
      <c r="C54" s="53">
        <f t="shared" si="2"/>
        <v>25164.105340682356</v>
      </c>
      <c r="D54" s="3">
        <v>0</v>
      </c>
      <c r="E54" s="43">
        <f t="shared" si="1"/>
        <v>1374211.7926546633</v>
      </c>
      <c r="F54" s="52"/>
    </row>
    <row r="55" spans="2:6" x14ac:dyDescent="0.35">
      <c r="B55">
        <v>202111</v>
      </c>
      <c r="C55" s="53">
        <f t="shared" si="2"/>
        <v>25164.105340682356</v>
      </c>
      <c r="D55" s="3">
        <v>0</v>
      </c>
      <c r="E55" s="43">
        <f t="shared" si="1"/>
        <v>1374211.7926546633</v>
      </c>
      <c r="F55" s="52"/>
    </row>
    <row r="56" spans="2:6" x14ac:dyDescent="0.35">
      <c r="B56">
        <v>202112</v>
      </c>
      <c r="C56" s="53">
        <f t="shared" si="2"/>
        <v>25164.105340682356</v>
      </c>
      <c r="D56" s="3">
        <v>0</v>
      </c>
      <c r="E56" s="43">
        <f t="shared" si="1"/>
        <v>1374211.7926546633</v>
      </c>
      <c r="F56" s="52"/>
    </row>
    <row r="57" spans="2:6" x14ac:dyDescent="0.35">
      <c r="B57">
        <v>202201</v>
      </c>
      <c r="C57" s="53">
        <f t="shared" si="2"/>
        <v>25164.105340682356</v>
      </c>
      <c r="D57" s="3">
        <v>0</v>
      </c>
      <c r="E57" s="43">
        <f t="shared" si="1"/>
        <v>1374211.7926546633</v>
      </c>
      <c r="F57" s="52"/>
    </row>
    <row r="58" spans="2:6" x14ac:dyDescent="0.35">
      <c r="B58">
        <v>202202</v>
      </c>
      <c r="C58" s="53">
        <f t="shared" si="2"/>
        <v>25164.105340682356</v>
      </c>
      <c r="D58" s="3">
        <v>0</v>
      </c>
      <c r="E58" s="43">
        <f t="shared" si="1"/>
        <v>1374211.7926546633</v>
      </c>
      <c r="F58" s="52"/>
    </row>
    <row r="59" spans="2:6" x14ac:dyDescent="0.35">
      <c r="B59">
        <v>202203</v>
      </c>
      <c r="C59" s="53">
        <f t="shared" si="2"/>
        <v>25164.105340682356</v>
      </c>
      <c r="D59" s="3">
        <v>0</v>
      </c>
      <c r="E59" s="43">
        <f t="shared" si="1"/>
        <v>1374211.7926546633</v>
      </c>
      <c r="F59" s="52"/>
    </row>
    <row r="60" spans="2:6" x14ac:dyDescent="0.35">
      <c r="B60">
        <v>202204</v>
      </c>
      <c r="C60" s="53">
        <f t="shared" si="2"/>
        <v>25164.105340682356</v>
      </c>
      <c r="D60" s="3">
        <v>0</v>
      </c>
      <c r="E60" s="43">
        <f t="shared" si="1"/>
        <v>1374211.7926546633</v>
      </c>
      <c r="F60" s="52"/>
    </row>
    <row r="61" spans="2:6" x14ac:dyDescent="0.35">
      <c r="B61">
        <v>202205</v>
      </c>
      <c r="C61" s="53">
        <f t="shared" si="2"/>
        <v>25164.105340682356</v>
      </c>
      <c r="D61" s="3">
        <v>0</v>
      </c>
      <c r="E61" s="43">
        <f t="shared" si="1"/>
        <v>1374211.7926546633</v>
      </c>
      <c r="F61" s="52"/>
    </row>
    <row r="62" spans="2:6" x14ac:dyDescent="0.35">
      <c r="B62">
        <v>202206</v>
      </c>
      <c r="C62" s="53">
        <f t="shared" si="2"/>
        <v>25164.105340682356</v>
      </c>
      <c r="D62" s="3">
        <v>0</v>
      </c>
      <c r="E62" s="43">
        <f t="shared" si="1"/>
        <v>1374211.7926546633</v>
      </c>
      <c r="F62" s="52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showGridLines="0" zoomScaleNormal="100" zoomScaleSheetLayoutView="100" workbookViewId="0">
      <selection activeCell="I22" sqref="I22"/>
    </sheetView>
  </sheetViews>
  <sheetFormatPr defaultColWidth="8.90625" defaultRowHeight="14.5" x14ac:dyDescent="0.35"/>
  <cols>
    <col min="2" max="2" width="12.453125" bestFit="1" customWidth="1"/>
    <col min="3" max="3" width="12.453125" customWidth="1"/>
    <col min="4" max="4" width="14.08984375" style="1" customWidth="1"/>
  </cols>
  <sheetData>
    <row r="1" spans="1:4" x14ac:dyDescent="0.35">
      <c r="A1" t="str">
        <f>'051018 Model_Model'!C1</f>
        <v>PROJECTED SUBSCRIPTION 1 (4-YR RAMP)</v>
      </c>
    </row>
    <row r="2" spans="1:4" ht="29" x14ac:dyDescent="0.35">
      <c r="A2" s="19" t="s">
        <v>129</v>
      </c>
      <c r="B2" s="57" t="s">
        <v>130</v>
      </c>
      <c r="C2" s="58" t="s">
        <v>131</v>
      </c>
      <c r="D2" s="58" t="s">
        <v>132</v>
      </c>
    </row>
    <row r="3" spans="1:4" x14ac:dyDescent="0.35">
      <c r="A3" s="20" t="s">
        <v>133</v>
      </c>
      <c r="B3" s="59">
        <f>SUM('051018 Model_Model'!E3:E14)</f>
        <v>3148626.0812250003</v>
      </c>
      <c r="C3" s="59"/>
      <c r="D3" s="21">
        <f>'051018 Model_Model'!C14</f>
        <v>10687.122499999999</v>
      </c>
    </row>
    <row r="4" spans="1:4" x14ac:dyDescent="0.35">
      <c r="A4" s="60" t="s">
        <v>134</v>
      </c>
      <c r="B4" s="61">
        <f>SUM('051018 Model_Model'!E15:E26)</f>
        <v>8949576.0418482944</v>
      </c>
      <c r="C4" s="62">
        <f>(D4-D3)/D3</f>
        <v>0.5095867420660638</v>
      </c>
      <c r="D4" s="63">
        <f>'051018 Model_Model'!C26</f>
        <v>16133.138436835927</v>
      </c>
    </row>
    <row r="5" spans="1:4" x14ac:dyDescent="0.35">
      <c r="A5" s="64" t="s">
        <v>135</v>
      </c>
      <c r="B5" s="65">
        <f>SUM('051018 Model_Model'!E27:E38)</f>
        <v>12545538.105491802</v>
      </c>
      <c r="C5" s="66">
        <f>(D5-D4)/D4</f>
        <v>0.3578801251729794</v>
      </c>
      <c r="D5" s="67">
        <f>'051018 Model_Model'!C38</f>
        <v>21906.868040043773</v>
      </c>
    </row>
    <row r="6" spans="1:4" x14ac:dyDescent="0.35">
      <c r="A6" s="4" t="s">
        <v>136</v>
      </c>
      <c r="B6" s="68">
        <f>SUM('051018 Model_Model'!E39:E50)</f>
        <v>15546516.501463631</v>
      </c>
      <c r="C6" s="69">
        <f>(D6-D5)/D5</f>
        <v>0.14868566764927998</v>
      </c>
      <c r="D6" s="70">
        <f>'051018 Model_Model'!C50</f>
        <v>25164.105340682356</v>
      </c>
    </row>
    <row r="7" spans="1:4" x14ac:dyDescent="0.35">
      <c r="A7" s="64" t="s">
        <v>137</v>
      </c>
      <c r="B7" s="65">
        <f>SUM('051018 Model_Model'!E51:E62)</f>
        <v>16490541.51185596</v>
      </c>
      <c r="C7" s="66">
        <f>(D7-D6)/D6</f>
        <v>0</v>
      </c>
      <c r="D7" s="67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zoomScaleNormal="100" zoomScaleSheetLayoutView="100" workbookViewId="0">
      <selection activeCell="B16" sqref="B16"/>
    </sheetView>
  </sheetViews>
  <sheetFormatPr defaultColWidth="8.90625" defaultRowHeight="14.5" x14ac:dyDescent="0.35"/>
  <cols>
    <col min="1" max="1" width="16.453125" customWidth="1"/>
    <col min="2" max="2" width="82.90625" customWidth="1"/>
  </cols>
  <sheetData>
    <row r="1" spans="1:2" x14ac:dyDescent="0.35">
      <c r="A1" s="2" t="s">
        <v>4</v>
      </c>
      <c r="B1" s="2" t="s">
        <v>5</v>
      </c>
    </row>
    <row r="2" spans="1:2" x14ac:dyDescent="0.35">
      <c r="A2" t="s">
        <v>6</v>
      </c>
      <c r="B2" t="s">
        <v>7</v>
      </c>
    </row>
    <row r="3" spans="1:2" x14ac:dyDescent="0.35">
      <c r="A3" t="s">
        <v>8</v>
      </c>
      <c r="B3" t="s">
        <v>9</v>
      </c>
    </row>
    <row r="4" spans="1:2" x14ac:dyDescent="0.35">
      <c r="A4" t="s">
        <v>10</v>
      </c>
      <c r="B4" t="s">
        <v>11</v>
      </c>
    </row>
    <row r="5" spans="1:2" x14ac:dyDescent="0.35">
      <c r="A5" t="s">
        <v>12</v>
      </c>
      <c r="B5" t="s">
        <v>13</v>
      </c>
    </row>
    <row r="6" spans="1:2" x14ac:dyDescent="0.35">
      <c r="A6" t="s">
        <v>14</v>
      </c>
      <c r="B6" s="6" t="s">
        <v>15</v>
      </c>
    </row>
    <row r="7" spans="1:2" x14ac:dyDescent="0.35">
      <c r="A7" t="s">
        <v>16</v>
      </c>
      <c r="B7" s="6" t="s">
        <v>17</v>
      </c>
    </row>
    <row r="8" spans="1:2" x14ac:dyDescent="0.35">
      <c r="A8" t="s">
        <v>18</v>
      </c>
      <c r="B8" s="6" t="s">
        <v>19</v>
      </c>
    </row>
    <row r="9" spans="1:2" x14ac:dyDescent="0.35">
      <c r="A9" t="s">
        <v>20</v>
      </c>
      <c r="B9" s="6" t="s">
        <v>21</v>
      </c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2:J26"/>
  <sheetViews>
    <sheetView showGridLines="0" topLeftCell="A8" zoomScaleNormal="100" zoomScaleSheetLayoutView="80" workbookViewId="0">
      <selection activeCell="B4" sqref="B4"/>
    </sheetView>
  </sheetViews>
  <sheetFormatPr defaultColWidth="8.90625" defaultRowHeight="14.5" x14ac:dyDescent="0.35"/>
  <cols>
    <col min="1" max="1" width="36" customWidth="1"/>
    <col min="2" max="2" width="15.453125" bestFit="1" customWidth="1"/>
    <col min="3" max="3" width="3.36328125" customWidth="1"/>
    <col min="4" max="4" width="15.08984375" customWidth="1"/>
    <col min="5" max="5" width="16.36328125" customWidth="1"/>
    <col min="6" max="6" width="13" customWidth="1"/>
    <col min="7" max="7" width="12.453125" customWidth="1"/>
    <col min="8" max="9" width="12.54296875" customWidth="1"/>
    <col min="11" max="11" width="15.36328125" customWidth="1"/>
    <col min="12" max="12" width="11.90625" bestFit="1" customWidth="1"/>
  </cols>
  <sheetData>
    <row r="2" spans="1:10" x14ac:dyDescent="0.35">
      <c r="A2" s="104" t="s">
        <v>22</v>
      </c>
      <c r="B2" s="48"/>
      <c r="C2" s="104" t="s">
        <v>23</v>
      </c>
      <c r="D2" s="48"/>
      <c r="E2" s="48"/>
    </row>
    <row r="3" spans="1:10" x14ac:dyDescent="0.35">
      <c r="A3" t="s">
        <v>24</v>
      </c>
      <c r="B3" s="115" t="s">
        <v>25</v>
      </c>
      <c r="C3" t="s">
        <v>26</v>
      </c>
    </row>
    <row r="4" spans="1:10" ht="14.25" customHeight="1" x14ac:dyDescent="0.35">
      <c r="A4" t="s">
        <v>27</v>
      </c>
      <c r="B4" s="107" t="str">
        <f>(TEXT(SUM(TRR_Summary!G9:G10)/SUM(TRR_Summary!F9:F10),"$0.00"))</f>
        <v>$50.31</v>
      </c>
      <c r="C4" t="s">
        <v>28</v>
      </c>
      <c r="E4" s="100"/>
    </row>
    <row r="5" spans="1:10" ht="14.25" customHeight="1" x14ac:dyDescent="0.35">
      <c r="A5" t="s">
        <v>29</v>
      </c>
      <c r="B5" s="106">
        <f>(ROUND(SUM(TRR_Summary!H9:H10)/SUM(TRR_Summary!F9:F10)*100,0))</f>
        <v>735</v>
      </c>
      <c r="C5" t="s">
        <v>30</v>
      </c>
      <c r="E5" s="100"/>
      <c r="F5" s="98"/>
    </row>
    <row r="6" spans="1:10" x14ac:dyDescent="0.35">
      <c r="A6" s="99" t="s">
        <v>31</v>
      </c>
    </row>
    <row r="7" spans="1:10" ht="15" thickBot="1" x14ac:dyDescent="0.4"/>
    <row r="8" spans="1:10" ht="58" x14ac:dyDescent="0.35">
      <c r="A8" s="79"/>
      <c r="B8" s="111"/>
      <c r="C8" s="111"/>
      <c r="D8" s="111"/>
      <c r="E8" s="103" t="s">
        <v>32</v>
      </c>
      <c r="F8" s="103" t="s">
        <v>33</v>
      </c>
      <c r="G8" s="103" t="s">
        <v>34</v>
      </c>
      <c r="H8" s="103" t="s">
        <v>35</v>
      </c>
      <c r="I8" s="101" t="s">
        <v>36</v>
      </c>
      <c r="J8" s="4"/>
    </row>
    <row r="9" spans="1:10" x14ac:dyDescent="0.35">
      <c r="A9" s="93" t="s">
        <v>37</v>
      </c>
      <c r="B9" s="134">
        <v>44562</v>
      </c>
      <c r="C9" s="124" t="s">
        <v>38</v>
      </c>
      <c r="D9" s="134">
        <v>44774</v>
      </c>
      <c r="E9" s="80">
        <f>AVERAGEIFS(TRR_Projections!$5:$5,TRR_Projections!$4:$4,"&gt;="&amp;TRR_Summary!B9,TRR_Projections!$4:$4,"&lt;="&amp;TRR_Summary!D9)</f>
        <v>11917</v>
      </c>
      <c r="F9" s="80">
        <f>SUMIFS(TRR_Projections!$5:$5,TRR_Projections!$4:$4,"&gt;="&amp;TRR_Summary!B9,TRR_Projections!$4:$4,"&lt;="&amp;TRR_Summary!D9)</f>
        <v>95336</v>
      </c>
      <c r="G9" s="130">
        <f>SUMIFS(TRR_Projections!$7:$7,TRR_Projections!$4:$4,"&gt;="&amp;TRR_Summary!B9,TRR_Projections!$4:$4,"&lt;="&amp;TRR_Summary!D9)</f>
        <v>4588796.82</v>
      </c>
      <c r="H9" s="80">
        <f>SUMIFS(TRR_Projections!$9:$9,TRR_Projections!$4:$4,"&gt;="&amp;TRR_Summary!B9,TRR_Projections!$4:$4,"&lt;="&amp;TRR_Summary!D9)</f>
        <v>686587</v>
      </c>
      <c r="I9" s="144">
        <f>SUMIFS(TRR_Projections!$11:$11,TRR_Projections!$4:$4,"&gt;="&amp;TRR_Summary!B9,TRR_Projections!$4:$4,"&lt;="&amp;TRR_Summary!D9)</f>
        <v>686525</v>
      </c>
      <c r="J9" s="4"/>
    </row>
    <row r="10" spans="1:10" x14ac:dyDescent="0.35">
      <c r="A10" s="94" t="s">
        <v>39</v>
      </c>
      <c r="B10" s="126">
        <f>EDATE(D9,1)</f>
        <v>44805</v>
      </c>
      <c r="C10" s="125" t="s">
        <v>38</v>
      </c>
      <c r="D10" s="135">
        <v>44866</v>
      </c>
      <c r="E10" s="81">
        <f>AVERAGEIFS(TRR_Projections!$5:$5,TRR_Projections!$4:$4,"&gt;="&amp;TRR_Summary!B10,TRR_Projections!$4:$4,"&lt;="&amp;TRR_Summary!D10)</f>
        <v>13734</v>
      </c>
      <c r="F10" s="81">
        <f>SUMIFS(TRR_Projections!$5:$5,TRR_Projections!$4:$4,"&gt;="&amp;TRR_Summary!B10,TRR_Projections!$4:$4,"&lt;="&amp;TRR_Summary!D10)</f>
        <v>41202</v>
      </c>
      <c r="G10" s="131">
        <f>SUMIFS(TRR_Projections!$7:$7,TRR_Projections!$4:$4,"&gt;="&amp;TRR_Summary!B10,TRR_Projections!$4:$4,"&lt;="&amp;TRR_Summary!D10)</f>
        <v>2280604.7000000002</v>
      </c>
      <c r="H10" s="81">
        <f>SUMIFS(TRR_Projections!$9:$9,TRR_Projections!$4:$4,"&gt;="&amp;TRR_Summary!B10,TRR_Projections!$4:$4,"&lt;="&amp;TRR_Summary!D10)</f>
        <v>316553</v>
      </c>
      <c r="I10" s="145">
        <f>SUMIFS(TRR_Projections!$11:$11,TRR_Projections!$4:$4,"&gt;="&amp;TRR_Summary!B10,TRR_Projections!$4:$4,"&lt;="&amp;TRR_Summary!D10)</f>
        <v>316524</v>
      </c>
      <c r="J10" s="4"/>
    </row>
    <row r="11" spans="1:10" x14ac:dyDescent="0.35">
      <c r="A11" s="94" t="s">
        <v>40</v>
      </c>
      <c r="B11" s="126">
        <f>EDATE(D10,1)</f>
        <v>44896</v>
      </c>
      <c r="C11" s="125" t="s">
        <v>38</v>
      </c>
      <c r="D11" s="135">
        <v>45139</v>
      </c>
      <c r="E11" s="114">
        <f>AVERAGEIFS(TRR_Projections!$5:$5,TRR_Projections!$4:$4,"&gt;="&amp;TRR_Summary!B11,TRR_Projections!$4:$4,"&lt;="&amp;TRR_Summary!D11)</f>
        <v>15096.153939851023</v>
      </c>
      <c r="F11" s="81">
        <f>SUMIFS(TRR_Projections!$5:$5,TRR_Projections!$4:$4,"&gt;="&amp;TRR_Summary!B11,TRR_Projections!$4:$4,"&lt;="&amp;TRR_Summary!D11)</f>
        <v>135865.38545865921</v>
      </c>
      <c r="G11" s="131">
        <f>SUMIFS(TRR_Projections!$7:$7,TRR_Projections!$4:$4,"&gt;="&amp;TRR_Summary!B11,TRR_Projections!$4:$4,"&lt;="&amp;TRR_Summary!D11)</f>
        <v>7007148.7824251447</v>
      </c>
      <c r="H11" s="81">
        <f>SUMIFS(TRR_Projections!$9:$9,TRR_Projections!$4:$4,"&gt;="&amp;TRR_Summary!B11,TRR_Projections!$4:$4,"&lt;="&amp;TRR_Summary!D11)</f>
        <v>1009190.9831211449</v>
      </c>
      <c r="I11" s="145">
        <f>SUMIFS(TRR_Projections!$11:$11,TRR_Projections!$4:$4,"&gt;="&amp;TRR_Summary!B11,TRR_Projections!$4:$4,"&lt;="&amp;TRR_Summary!D11)</f>
        <v>998610.58312114503</v>
      </c>
      <c r="J11" s="4"/>
    </row>
    <row r="12" spans="1:10" x14ac:dyDescent="0.35">
      <c r="A12" s="92" t="s">
        <v>41</v>
      </c>
      <c r="B12" s="127">
        <f>B10</f>
        <v>44805</v>
      </c>
      <c r="C12" s="105" t="s">
        <v>38</v>
      </c>
      <c r="D12" s="127">
        <f>D11</f>
        <v>45139</v>
      </c>
      <c r="E12" s="80">
        <f>AVERAGEIFS(TRR_Projections!$5:$5,TRR_Projections!$4:$4,"&gt;="&amp;TRR_Summary!B12,TRR_Projections!$4:$4,"&lt;="&amp;TRR_Summary!D12)</f>
        <v>14755.615454888268</v>
      </c>
      <c r="F12" s="80">
        <f>SUMIFS(TRR_Projections!$5:$5,TRR_Projections!$4:$4,"&gt;="&amp;TRR_Summary!B12,TRR_Projections!$4:$4,"&lt;="&amp;TRR_Summary!D12)</f>
        <v>177067.38545865921</v>
      </c>
      <c r="G12" s="130">
        <f>SUMIFS(TRR_Projections!$7:$7,TRR_Projections!$4:$4,"&gt;="&amp;TRR_Summary!B12,TRR_Projections!$4:$4,"&lt;="&amp;TRR_Summary!D12)</f>
        <v>9287753.4824251439</v>
      </c>
      <c r="H12" s="80">
        <f>SUMIFS(TRR_Projections!$9:$9,TRR_Projections!$4:$4,"&gt;="&amp;TRR_Summary!B12,TRR_Projections!$4:$4,"&lt;="&amp;TRR_Summary!D12)</f>
        <v>1325743.9831211451</v>
      </c>
      <c r="I12" s="144">
        <f>SUMIFS(TRR_Projections!$11:$11,TRR_Projections!$4:$4,"&gt;="&amp;TRR_Summary!B12,TRR_Projections!$4:$4,"&lt;="&amp;TRR_Summary!D12)</f>
        <v>1315134.5831211451</v>
      </c>
      <c r="J12" s="4"/>
    </row>
    <row r="13" spans="1:10" ht="15" thickBot="1" x14ac:dyDescent="0.4">
      <c r="A13" s="91" t="s">
        <v>42</v>
      </c>
      <c r="B13" s="128">
        <f>EDATE(D12,1)</f>
        <v>45170</v>
      </c>
      <c r="C13" s="108" t="s">
        <v>38</v>
      </c>
      <c r="D13" s="128">
        <f>EDATE(B13,11)</f>
        <v>45505</v>
      </c>
      <c r="E13" s="82">
        <f>AVERAGEIFS(TRR_Projections!$5:$5,TRR_Projections!$4:$4,"&gt;="&amp;TRR_Summary!B13,TRR_Projections!$4:$4,"&lt;="&amp;TRR_Summary!D13)</f>
        <v>15482.787685676738</v>
      </c>
      <c r="F13" s="82">
        <f>SUMIFS(TRR_Projections!$5:$5,TRR_Projections!$4:$4,"&gt;="&amp;TRR_Summary!B13,TRR_Projections!$4:$4,"&lt;="&amp;TRR_Summary!D13)</f>
        <v>185793.45222812085</v>
      </c>
      <c r="G13" s="132">
        <f>SUMIFS(TRR_Projections!$7:$7,TRR_Projections!$4:$4,"&gt;="&amp;TRR_Summary!B13,TRR_Projections!$4:$4,"&lt;="&amp;TRR_Summary!D13)</f>
        <v>9347268.5815967619</v>
      </c>
      <c r="H13" s="133">
        <f>SUMIFS(TRR_Projections!$9:$9,TRR_Projections!$4:$4,"&gt;="&amp;TRR_Summary!B13,TRR_Projections!$4:$4,"&lt;="&amp;TRR_Summary!D13)</f>
        <v>1365581.8738766883</v>
      </c>
      <c r="I13" s="146">
        <f>SUMIFS(TRR_Projections!$11:$11,TRR_Projections!$4:$4,"&gt;="&amp;TRR_Summary!B13,TRR_Projections!$4:$4,"&lt;="&amp;TRR_Summary!D13)</f>
        <v>1365581.8738766883</v>
      </c>
      <c r="J13" s="4"/>
    </row>
    <row r="14" spans="1:10" x14ac:dyDescent="0.35">
      <c r="J14" s="4"/>
    </row>
    <row r="15" spans="1:10" x14ac:dyDescent="0.35">
      <c r="A15" s="4"/>
    </row>
    <row r="16" spans="1:10" x14ac:dyDescent="0.35">
      <c r="A16" s="4"/>
    </row>
    <row r="17" spans="1:6" x14ac:dyDescent="0.35">
      <c r="A17" s="4"/>
      <c r="D17" s="129"/>
      <c r="E17" s="129"/>
      <c r="F17" s="129"/>
    </row>
    <row r="18" spans="1:6" x14ac:dyDescent="0.35">
      <c r="A18" s="4"/>
    </row>
    <row r="19" spans="1:6" x14ac:dyDescent="0.35">
      <c r="A19" s="4"/>
    </row>
    <row r="20" spans="1:6" x14ac:dyDescent="0.35">
      <c r="A20" s="4"/>
    </row>
    <row r="21" spans="1:6" x14ac:dyDescent="0.35">
      <c r="A21" s="4"/>
    </row>
    <row r="22" spans="1:6" x14ac:dyDescent="0.35">
      <c r="A22" s="4"/>
    </row>
    <row r="23" spans="1:6" x14ac:dyDescent="0.35">
      <c r="A23" s="4"/>
    </row>
    <row r="24" spans="1:6" x14ac:dyDescent="0.35">
      <c r="A24" s="4"/>
    </row>
    <row r="25" spans="1:6" x14ac:dyDescent="0.35">
      <c r="A25" s="4"/>
    </row>
    <row r="26" spans="1:6" x14ac:dyDescent="0.35">
      <c r="A26" s="4"/>
    </row>
  </sheetData>
  <dataValidations disablePrompts="1"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85" fitToWidth="0" fitToHeight="0" orientation="landscape" r:id="rId1"/>
  <headerFooter>
    <oddHeader>&amp;L2023 TAP Reconcilable Rider Reports and Projection Model: &amp;A</oddHead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E19"/>
  <sheetViews>
    <sheetView showGridLines="0" tabSelected="1" topLeftCell="A2" zoomScale="110" zoomScaleNormal="110" zoomScaleSheetLayoutView="100" workbookViewId="0">
      <pane xSplit="1" ySplit="3" topLeftCell="AV5" activePane="bottomRight" state="frozen"/>
      <selection activeCell="A2" sqref="A2"/>
      <selection pane="topRight" activeCell="B2" sqref="B2"/>
      <selection pane="bottomLeft" activeCell="A5" sqref="A5"/>
      <selection pane="bottomRight" activeCell="AL5" sqref="AL5"/>
    </sheetView>
  </sheetViews>
  <sheetFormatPr defaultColWidth="8.90625" defaultRowHeight="14.5" x14ac:dyDescent="0.35"/>
  <cols>
    <col min="1" max="1" width="30.08984375" bestFit="1" customWidth="1"/>
    <col min="2" max="19" width="12.453125" customWidth="1"/>
    <col min="20" max="20" width="13.08984375" customWidth="1"/>
    <col min="21" max="21" width="12.453125" customWidth="1"/>
    <col min="22" max="25" width="13.08984375" customWidth="1"/>
    <col min="26" max="26" width="15" customWidth="1"/>
    <col min="27" max="30" width="13.08984375" customWidth="1"/>
    <col min="31" max="31" width="15.36328125" customWidth="1"/>
    <col min="32" max="33" width="13.08984375" customWidth="1"/>
    <col min="34" max="34" width="16.90625" bestFit="1" customWidth="1"/>
    <col min="35" max="35" width="17.453125" customWidth="1"/>
    <col min="36" max="45" width="13.08984375" customWidth="1"/>
    <col min="46" max="46" width="14.453125" bestFit="1" customWidth="1"/>
    <col min="47" max="57" width="12.36328125" customWidth="1"/>
  </cols>
  <sheetData>
    <row r="1" spans="1:57" s="136" customFormat="1" x14ac:dyDescent="0.35">
      <c r="B1" s="136" t="str">
        <f>IF(B4=TRR_Summary!$B9,"Reconciled Period",IF(B4=TRR_Summary!$B10,"Most Recent Period",IF(B4=TRR_Summary!$B13,"Next Rate Period","")))</f>
        <v/>
      </c>
      <c r="C1" s="136" t="str">
        <f>IF(C4=TRR_Summary!$B9,"Reconciled Period",IF(C4=TRR_Summary!$B10,"Most Recent Period",IF(C4=TRR_Summary!$B13,"Next Rate Period","")))</f>
        <v/>
      </c>
      <c r="D1" s="136" t="str">
        <f>IF(D4=TRR_Summary!$B9,"Reconciled Period",IF(D4=TRR_Summary!$B10,"Most Recent Period",IF(D4=TRR_Summary!$B13,"Next Rate Period","")))</f>
        <v/>
      </c>
      <c r="E1" s="136" t="str">
        <f>IF(E4=TRR_Summary!$B9,"Reconciled Period",IF(E4=TRR_Summary!$B10,"Most Recent Period",IF(E4=TRR_Summary!$B13,"Next Rate Period","")))</f>
        <v/>
      </c>
      <c r="F1" s="136" t="str">
        <f>IF(F4=TRR_Summary!$B9,"Reconciled Period",IF(F4=TRR_Summary!$B10,"Most Recent Period",IF(F4=TRR_Summary!$B13,"Next Rate Period","")))</f>
        <v/>
      </c>
      <c r="G1" s="136" t="str">
        <f>IF(G4=TRR_Summary!$B9,"Reconciled Period",IF(G4=TRR_Summary!$B10,"Most Recent Period",IF(G4=TRR_Summary!$B13,"Next Rate Period","")))</f>
        <v/>
      </c>
      <c r="H1" s="136" t="str">
        <f>IF(H4=TRR_Summary!$B9,"Reconciled Period",IF(H4=TRR_Summary!$B10,"Most Recent Period",IF(H4=TRR_Summary!$B13,"Next Rate Period","")))</f>
        <v/>
      </c>
      <c r="I1" s="136" t="str">
        <f>IF(I4=TRR_Summary!$B9,"Reconciled Period",IF(I4=TRR_Summary!$B10,"Most Recent Period",IF(I4=TRR_Summary!$B13,"Next Rate Period","")))</f>
        <v/>
      </c>
      <c r="J1" s="136" t="str">
        <f>IF(J4=TRR_Summary!$B9,"Reconciled Period",IF(J4=TRR_Summary!$B10,"Most Recent Period",IF(J4=TRR_Summary!$B13,"Next Rate Period","")))</f>
        <v/>
      </c>
      <c r="K1" s="136" t="str">
        <f>IF(K4=TRR_Summary!$B9,"Reconciled Period",IF(K4=TRR_Summary!$B10,"Most Recent Period",IF(K4=TRR_Summary!$B13,"Next Rate Period","")))</f>
        <v/>
      </c>
      <c r="L1" s="136" t="str">
        <f>IF(L4=TRR_Summary!$B9,"Reconciled Period",IF(L4=TRR_Summary!$B10,"Most Recent Period",IF(L4=TRR_Summary!$B13,"Next Rate Period","")))</f>
        <v/>
      </c>
      <c r="M1" s="136" t="str">
        <f>IF(M4=TRR_Summary!$B9,"Reconciled Period",IF(M4=TRR_Summary!$B10,"Most Recent Period",IF(M4=TRR_Summary!$B13,"Next Rate Period","")))</f>
        <v/>
      </c>
      <c r="N1" s="136" t="str">
        <f>IF(N4=TRR_Summary!$B9,"Reconciled Period",IF(N4=TRR_Summary!$B10,"Most Recent Period",IF(N4=TRR_Summary!$B13,"Next Rate Period","")))</f>
        <v/>
      </c>
      <c r="O1" s="136" t="str">
        <f>IF(O4=TRR_Summary!$B9,"Reconciled Period",IF(O4=TRR_Summary!$B10,"Most Recent Period",IF(O4=TRR_Summary!$B13,"Next Rate Period","")))</f>
        <v/>
      </c>
      <c r="P1" s="136" t="str">
        <f>IF(P4=TRR_Summary!$B9,"Reconciled Period",IF(P4=TRR_Summary!$B10,"Most Recent Period",IF(P4=TRR_Summary!$B13,"Next Rate Period","")))</f>
        <v/>
      </c>
      <c r="Q1" s="136" t="str">
        <f>IF(Q4=TRR_Summary!$B9,"Reconciled Period",IF(Q4=TRR_Summary!$B10,"Most Recent Period",IF(Q4=TRR_Summary!$B13,"Next Rate Period","")))</f>
        <v/>
      </c>
      <c r="R1" s="136" t="str">
        <f>IF(R4=TRR_Summary!$B9,"Reconciled Period",IF(R4=TRR_Summary!$B10,"Most Recent Period",IF(R4=TRR_Summary!$B13,"Next Rate Period","")))</f>
        <v/>
      </c>
      <c r="S1" s="136" t="str">
        <f>IF(S4=TRR_Summary!$B9,"Reconciled Period",IF(S4=TRR_Summary!$B10,"Most Recent Period",IF(S4=TRR_Summary!$B13,"Next Rate Period","")))</f>
        <v/>
      </c>
      <c r="T1" s="136" t="str">
        <f>IF(T4=TRR_Summary!$B9,"Reconciled Period",IF(T4=TRR_Summary!$B10,"Most Recent Period",IF(T4=TRR_Summary!$B13,"Next Rate Period","")))</f>
        <v/>
      </c>
      <c r="U1" s="136" t="str">
        <f>IF(U4=TRR_Summary!$B9,"Reconciled Period",IF(U4=TRR_Summary!$B10,"Most Recent Period",IF(U4=TRR_Summary!$B13,"Next Rate Period","")))</f>
        <v/>
      </c>
      <c r="V1" s="136" t="str">
        <f>IF(V4=TRR_Summary!$B9,"Reconciled Period",IF(V4=TRR_Summary!$B10,"Most Recent Period",IF(V4=TRR_Summary!$B13,"Next Rate Period","")))</f>
        <v/>
      </c>
      <c r="W1" s="136" t="str">
        <f>IF(W4=TRR_Summary!$B9,"Reconciled Period",IF(W4=TRR_Summary!$B10,"Most Recent Period",IF(W4=TRR_Summary!$B13,"Next Rate Period","")))</f>
        <v/>
      </c>
      <c r="X1" s="136" t="str">
        <f>IF(X4=TRR_Summary!$B9,"Reconciled Period",IF(X4=TRR_Summary!$B10,"Most Recent Period",IF(X4=TRR_Summary!$B13,"Next Rate Period","")))</f>
        <v/>
      </c>
      <c r="Y1" s="136" t="str">
        <f>IF(Y4=TRR_Summary!$B9,"Reconciled Period",IF(Y4=TRR_Summary!$B10,"Most Recent Period",IF(Y4=TRR_Summary!$B13,"Next Rate Period","")))</f>
        <v/>
      </c>
      <c r="Z1" s="137" t="str">
        <f>IF(Z4=TRR_Summary!$B9,"Reconciled Period",IF(Z4=TRR_Summary!$B10,"Most Recent Period",IF(Z4=TRR_Summary!$B13,"Next Rate Period","")))</f>
        <v>Reconciled Period</v>
      </c>
      <c r="AA1" s="137" t="str">
        <f>IF(AA4=TRR_Summary!$B9,"Reconciled Period",IF(AA4=TRR_Summary!$B10,"Most Recent Period",IF(AA4=TRR_Summary!$B13,"Next Rate Period","")))</f>
        <v/>
      </c>
      <c r="AB1" s="137" t="str">
        <f>IF(AB4=TRR_Summary!$B9,"Reconciled Period",IF(AB4=TRR_Summary!$B10,"Most Recent Period",IF(AB4=TRR_Summary!$B13,"Next Rate Period","")))</f>
        <v/>
      </c>
      <c r="AC1" s="137" t="str">
        <f>IF(AC4=TRR_Summary!$B9,"Reconciled Period",IF(AC4=TRR_Summary!$B10,"Most Recent Period",IF(AC4=TRR_Summary!$B13,"Next Rate Period","")))</f>
        <v/>
      </c>
      <c r="AD1" s="137" t="str">
        <f>IF(AD4=TRR_Summary!$B9,"Reconciled Period",IF(AD4=TRR_Summary!$B10,"Most Recent Period",IF(AD4=TRR_Summary!$B13,"Next Rate Period","")))</f>
        <v/>
      </c>
      <c r="AE1" s="137" t="str">
        <f>IF(AE4=TRR_Summary!$B9,"Reconciled Period",IF(AE4=TRR_Summary!$B10,"Most Recent Period",IF(AE4=TRR_Summary!$B13,"Next Rate Period","")))</f>
        <v/>
      </c>
      <c r="AF1" s="137" t="str">
        <f>IF(AF4=TRR_Summary!$B9,"Reconciled Period",IF(AF4=TRR_Summary!$B10,"Most Recent Period",IF(AF4=TRR_Summary!$B13,"Next Rate Period","")))</f>
        <v/>
      </c>
      <c r="AG1" s="137" t="str">
        <f>IF(AG4=TRR_Summary!$B9,"Reconciled Period",IF(AG4=TRR_Summary!$B10,"Most Recent Period",IF(AG4=TRR_Summary!$B13,"Next Rate Period","")))</f>
        <v/>
      </c>
      <c r="AH1" s="138" t="str">
        <f>IF(AH4=TRR_Summary!$B9,"Reconciled Period",IF(AH4=TRR_Summary!$B10,"Most Recent Period",IF(AH4=TRR_Summary!$B13,"Next Rate Period","")))</f>
        <v>Most Recent Period</v>
      </c>
      <c r="AI1" s="138" t="str">
        <f>IF(AI4=TRR_Summary!$B9,"Reconciled Period",IF(AI4=TRR_Summary!$B10,"Most Recent Period",IF(AI4=TRR_Summary!$B13,"Next Rate Period","")))</f>
        <v/>
      </c>
      <c r="AJ1" s="138" t="str">
        <f>IF(AJ4=TRR_Summary!$B9,"Reconciled Period",IF(AJ4=TRR_Summary!$B10,"Most Recent Period",IF(AJ4=TRR_Summary!$B13,"Next Rate Period","")))</f>
        <v/>
      </c>
      <c r="AK1" s="138" t="str">
        <f>IF(AK4=TRR_Summary!$B9,"Reconciled Period",IF(AK4=TRR_Summary!$B10,"Most Recent Period",IF(AK4=TRR_Summary!$B13,"Next Rate Period","")))</f>
        <v/>
      </c>
      <c r="AL1" s="138" t="str">
        <f>IF(AL4=TRR_Summary!$B9,"Reconciled Period",IF(AL4=TRR_Summary!$B10,"Most Recent Period",IF(AL4=TRR_Summary!$B13,"Next Rate Period","")))</f>
        <v/>
      </c>
      <c r="AM1" s="138" t="str">
        <f>IF(AM4=TRR_Summary!$B9,"Reconciled Period",IF(AM4=TRR_Summary!$B10,"Most Recent Period",IF(AM4=TRR_Summary!$B13,"Next Rate Period","")))</f>
        <v/>
      </c>
      <c r="AN1" s="138" t="str">
        <f>IF(AN4=TRR_Summary!$B9,"Reconciled Period",IF(AN4=TRR_Summary!$B10,"Most Recent Period",IF(AN4=TRR_Summary!$B13,"Next Rate Period","")))</f>
        <v/>
      </c>
      <c r="AO1" s="138" t="str">
        <f>IF(AO4=TRR_Summary!$B9,"Reconciled Period",IF(AO4=TRR_Summary!$B10,"Most Recent Period",IF(AO4=TRR_Summary!$B13,"Next Rate Period","")))</f>
        <v/>
      </c>
      <c r="AP1" s="138" t="str">
        <f>IF(AP4=TRR_Summary!$B9,"Reconciled Period",IF(AP4=TRR_Summary!$B10,"Most Recent Period",IF(AP4=TRR_Summary!$B13,"Next Rate Period","")))</f>
        <v/>
      </c>
      <c r="AQ1" s="138" t="str">
        <f>IF(AQ4=TRR_Summary!$B9,"Reconciled Period",IF(AQ4=TRR_Summary!$B10,"Most Recent Period",IF(AQ4=TRR_Summary!$B13,"Next Rate Period","")))</f>
        <v/>
      </c>
      <c r="AR1" s="138" t="str">
        <f>IF(AR4=TRR_Summary!$B9,"Reconciled Period",IF(AR4=TRR_Summary!$B10,"Most Recent Period",IF(AR4=TRR_Summary!$B13,"Next Rate Period","")))</f>
        <v/>
      </c>
      <c r="AS1" s="138" t="str">
        <f>IF(AS4=TRR_Summary!$B9,"Reconciled Period",IF(AS4=TRR_Summary!$B10,"Most Recent Period",IF(AS4=TRR_Summary!$B13,"Next Rate Period","")))</f>
        <v/>
      </c>
      <c r="AT1" s="139" t="str">
        <f>IF(AT4=TRR_Summary!$B9,"Reconciled Period",IF(AT4=TRR_Summary!$B10,"Most Recent Period",IF(AT4=TRR_Summary!$B13,"Next Rate Period","")))</f>
        <v>Next Rate Period</v>
      </c>
      <c r="AU1" s="139" t="str">
        <f>IF(AU4=TRR_Summary!$B9,"Reconciled Period",IF(AU4=TRR_Summary!$B10,"Most Recent Period",IF(AU4=TRR_Summary!$B13,"Next Rate Period","")))</f>
        <v/>
      </c>
      <c r="AV1" s="139" t="str">
        <f>IF(AV4=TRR_Summary!$B9,"Reconciled Period",IF(AV4=TRR_Summary!$B10,"Most Recent Period",IF(AV4=TRR_Summary!$B13,"Next Rate Period","")))</f>
        <v/>
      </c>
      <c r="AW1" s="139" t="str">
        <f>IF(AW4=TRR_Summary!$B9,"Reconciled Period",IF(AW4=TRR_Summary!$B10,"Most Recent Period",IF(AW4=TRR_Summary!$B13,"Next Rate Period","")))</f>
        <v/>
      </c>
      <c r="AX1" s="139" t="str">
        <f>IF(AX4=TRR_Summary!$B9,"Reconciled Period",IF(AX4=TRR_Summary!$B10,"Most Recent Period",IF(AX4=TRR_Summary!$B13,"Next Rate Period","")))</f>
        <v/>
      </c>
      <c r="AY1" s="139" t="str">
        <f>IF(AY4=TRR_Summary!$B9,"Reconciled Period",IF(AY4=TRR_Summary!$B10,"Most Recent Period",IF(AY4=TRR_Summary!$B13,"Next Rate Period","")))</f>
        <v/>
      </c>
      <c r="AZ1" s="139" t="str">
        <f>IF(AZ4=TRR_Summary!$B9,"Reconciled Period",IF(AZ4=TRR_Summary!$B10,"Most Recent Period",IF(AZ4=TRR_Summary!$B13,"Next Rate Period","")))</f>
        <v/>
      </c>
      <c r="BA1" s="139" t="str">
        <f>IF(BA4=TRR_Summary!$B9,"Reconciled Period",IF(BA4=TRR_Summary!$B10,"Most Recent Period",IF(BA4=TRR_Summary!$B13,"Next Rate Period","")))</f>
        <v/>
      </c>
      <c r="BB1" s="139" t="str">
        <f>IF(BB4=TRR_Summary!$B9,"Reconciled Period",IF(BB4=TRR_Summary!$B10,"Most Recent Period",IF(BB4=TRR_Summary!$B13,"Next Rate Period","")))</f>
        <v/>
      </c>
      <c r="BC1" s="139" t="str">
        <f>IF(BC4=TRR_Summary!$B9,"Reconciled Period",IF(BC4=TRR_Summary!$B10,"Most Recent Period",IF(BC4=TRR_Summary!$B13,"Next Rate Period","")))</f>
        <v/>
      </c>
      <c r="BD1" s="139" t="str">
        <f>IF(BD4=TRR_Summary!$B9,"Reconciled Period",IF(BD4=TRR_Summary!$B10,"Most Recent Period",IF(BD4=TRR_Summary!$B13,"Next Rate Period","")))</f>
        <v/>
      </c>
      <c r="BE1" s="139" t="str">
        <f>IF(BE4=TRR_Summary!$B9,"Reconciled Period",IF(BE4=TRR_Summary!$B10,"Most Recent Period",IF(BE4=TRR_Summary!$B13,"Next Rate Period","")))</f>
        <v/>
      </c>
    </row>
    <row r="2" spans="1:57" x14ac:dyDescent="0.35">
      <c r="A2" s="116" t="s">
        <v>43</v>
      </c>
      <c r="B2" s="117" t="s">
        <v>44</v>
      </c>
      <c r="C2" s="117" t="s">
        <v>44</v>
      </c>
      <c r="D2" s="117" t="s">
        <v>44</v>
      </c>
      <c r="E2" s="117" t="s">
        <v>44</v>
      </c>
      <c r="F2" s="117" t="s">
        <v>44</v>
      </c>
      <c r="G2" s="117" t="s">
        <v>44</v>
      </c>
      <c r="H2" s="117" t="s">
        <v>44</v>
      </c>
      <c r="I2" s="117" t="s">
        <v>44</v>
      </c>
      <c r="J2" s="117" t="s">
        <v>44</v>
      </c>
      <c r="K2" s="117" t="s">
        <v>44</v>
      </c>
      <c r="L2" s="117" t="s">
        <v>44</v>
      </c>
      <c r="M2" s="117" t="s">
        <v>44</v>
      </c>
      <c r="N2" s="117" t="s">
        <v>44</v>
      </c>
      <c r="O2" s="117" t="s">
        <v>44</v>
      </c>
      <c r="P2" s="117" t="s">
        <v>44</v>
      </c>
      <c r="Q2" s="117" t="s">
        <v>44</v>
      </c>
      <c r="R2" s="117" t="s">
        <v>44</v>
      </c>
      <c r="S2" s="117" t="s">
        <v>44</v>
      </c>
      <c r="T2" s="117" t="s">
        <v>44</v>
      </c>
      <c r="U2" s="117" t="s">
        <v>44</v>
      </c>
      <c r="V2" s="117" t="s">
        <v>44</v>
      </c>
      <c r="W2" s="117" t="s">
        <v>44</v>
      </c>
      <c r="X2" s="117" t="s">
        <v>44</v>
      </c>
      <c r="Y2" s="117" t="s">
        <v>44</v>
      </c>
      <c r="Z2" s="117" t="s">
        <v>44</v>
      </c>
      <c r="AA2" s="117" t="s">
        <v>44</v>
      </c>
      <c r="AB2" s="117" t="s">
        <v>44</v>
      </c>
      <c r="AC2" s="117" t="s">
        <v>44</v>
      </c>
      <c r="AD2" s="117" t="s">
        <v>44</v>
      </c>
      <c r="AE2" s="117" t="s">
        <v>44</v>
      </c>
      <c r="AF2" s="117" t="s">
        <v>44</v>
      </c>
      <c r="AG2" s="117" t="s">
        <v>44</v>
      </c>
      <c r="AH2" s="117" t="s">
        <v>44</v>
      </c>
      <c r="AI2" s="117" t="s">
        <v>44</v>
      </c>
      <c r="AJ2" s="117" t="s">
        <v>44</v>
      </c>
      <c r="AK2" s="158" t="s">
        <v>44</v>
      </c>
      <c r="AL2" s="158" t="s">
        <v>44</v>
      </c>
      <c r="AM2" s="117" t="s">
        <v>45</v>
      </c>
      <c r="AN2" s="117" t="s">
        <v>45</v>
      </c>
      <c r="AO2" s="117" t="s">
        <v>45</v>
      </c>
      <c r="AP2" s="117" t="s">
        <v>45</v>
      </c>
      <c r="AQ2" s="117" t="s">
        <v>45</v>
      </c>
      <c r="AR2" s="117" t="s">
        <v>45</v>
      </c>
      <c r="AS2" s="118" t="s">
        <v>45</v>
      </c>
      <c r="AT2" s="117" t="s">
        <v>45</v>
      </c>
      <c r="AU2" s="118" t="s">
        <v>45</v>
      </c>
      <c r="AV2" s="117" t="s">
        <v>45</v>
      </c>
      <c r="AW2" s="118" t="s">
        <v>45</v>
      </c>
      <c r="AX2" s="117" t="s">
        <v>45</v>
      </c>
      <c r="AY2" s="118" t="s">
        <v>45</v>
      </c>
      <c r="AZ2" s="117" t="s">
        <v>45</v>
      </c>
      <c r="BA2" s="118" t="s">
        <v>45</v>
      </c>
      <c r="BB2" s="117" t="s">
        <v>45</v>
      </c>
      <c r="BC2" s="118" t="s">
        <v>45</v>
      </c>
      <c r="BD2" s="117" t="s">
        <v>45</v>
      </c>
      <c r="BE2" s="118" t="s">
        <v>45</v>
      </c>
    </row>
    <row r="3" spans="1:57" x14ac:dyDescent="0.35">
      <c r="A3" s="148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2"/>
      <c r="P3" s="3"/>
      <c r="Q3" s="3"/>
      <c r="R3" s="3"/>
      <c r="S3" s="3"/>
      <c r="T3" s="110"/>
      <c r="U3" s="113"/>
      <c r="V3" s="112"/>
      <c r="W3" s="3"/>
      <c r="X3" s="3"/>
      <c r="Y3" s="3"/>
      <c r="Z3" s="3"/>
      <c r="AA3" s="3"/>
      <c r="AB3" s="3"/>
      <c r="AC3" s="3"/>
      <c r="AD3" s="3"/>
      <c r="AE3" s="3"/>
      <c r="AF3" s="3"/>
      <c r="AG3" s="113"/>
      <c r="AH3" s="113"/>
      <c r="AI3" s="113"/>
      <c r="AJ3" s="3"/>
      <c r="AK3" s="3">
        <v>0</v>
      </c>
      <c r="AL3" s="3">
        <v>0</v>
      </c>
      <c r="AM3" s="3">
        <f>AL14</f>
        <v>2.1889986478439735E-3</v>
      </c>
      <c r="AN3" s="3">
        <f t="shared" ref="AN3:BE3" si="0">AM3</f>
        <v>2.1889986478439735E-3</v>
      </c>
      <c r="AO3" s="3">
        <f t="shared" si="0"/>
        <v>2.1889986478439735E-3</v>
      </c>
      <c r="AP3" s="3">
        <f t="shared" si="0"/>
        <v>2.1889986478439735E-3</v>
      </c>
      <c r="AQ3" s="3">
        <f t="shared" si="0"/>
        <v>2.1889986478439735E-3</v>
      </c>
      <c r="AR3" s="3">
        <f t="shared" si="0"/>
        <v>2.1889986478439735E-3</v>
      </c>
      <c r="AS3" s="3">
        <f t="shared" si="0"/>
        <v>2.1889986478439735E-3</v>
      </c>
      <c r="AT3" s="3">
        <f t="shared" si="0"/>
        <v>2.1889986478439735E-3</v>
      </c>
      <c r="AU3" s="3">
        <f t="shared" si="0"/>
        <v>2.1889986478439735E-3</v>
      </c>
      <c r="AV3" s="3">
        <f t="shared" si="0"/>
        <v>2.1889986478439735E-3</v>
      </c>
      <c r="AW3" s="3">
        <f t="shared" si="0"/>
        <v>2.1889986478439735E-3</v>
      </c>
      <c r="AX3" s="3">
        <f t="shared" si="0"/>
        <v>2.1889986478439735E-3</v>
      </c>
      <c r="AY3" s="3">
        <f t="shared" si="0"/>
        <v>2.1889986478439735E-3</v>
      </c>
      <c r="AZ3" s="3">
        <f t="shared" si="0"/>
        <v>2.1889986478439735E-3</v>
      </c>
      <c r="BA3" s="3">
        <f t="shared" si="0"/>
        <v>2.1889986478439735E-3</v>
      </c>
      <c r="BB3" s="3">
        <f t="shared" si="0"/>
        <v>2.1889986478439735E-3</v>
      </c>
      <c r="BC3" s="3">
        <f t="shared" si="0"/>
        <v>2.1889986478439735E-3</v>
      </c>
      <c r="BD3" s="3">
        <f t="shared" si="0"/>
        <v>2.1889986478439735E-3</v>
      </c>
      <c r="BE3" s="3">
        <f t="shared" si="0"/>
        <v>2.1889986478439735E-3</v>
      </c>
    </row>
    <row r="4" spans="1:57" s="95" customFormat="1" x14ac:dyDescent="0.35">
      <c r="A4" s="119" t="s">
        <v>47</v>
      </c>
      <c r="B4" s="151">
        <v>43831</v>
      </c>
      <c r="C4" s="151">
        <v>43862</v>
      </c>
      <c r="D4" s="151">
        <v>43891</v>
      </c>
      <c r="E4" s="151">
        <v>43922</v>
      </c>
      <c r="F4" s="151">
        <v>43952</v>
      </c>
      <c r="G4" s="151">
        <v>43983</v>
      </c>
      <c r="H4" s="151">
        <v>44013</v>
      </c>
      <c r="I4" s="151">
        <v>44044</v>
      </c>
      <c r="J4" s="151">
        <v>44075</v>
      </c>
      <c r="K4" s="151">
        <v>44105</v>
      </c>
      <c r="L4" s="151">
        <v>44136</v>
      </c>
      <c r="M4" s="151">
        <v>44166</v>
      </c>
      <c r="N4" s="151">
        <v>44197</v>
      </c>
      <c r="O4" s="151">
        <v>44228</v>
      </c>
      <c r="P4" s="151">
        <v>44256</v>
      </c>
      <c r="Q4" s="151">
        <v>44287</v>
      </c>
      <c r="R4" s="151">
        <v>44317</v>
      </c>
      <c r="S4" s="151">
        <v>44348</v>
      </c>
      <c r="T4" s="151">
        <v>44378</v>
      </c>
      <c r="U4" s="151">
        <v>44409</v>
      </c>
      <c r="V4" s="151">
        <v>44440</v>
      </c>
      <c r="W4" s="151">
        <v>44470</v>
      </c>
      <c r="X4" s="151">
        <v>44501</v>
      </c>
      <c r="Y4" s="151">
        <v>44531</v>
      </c>
      <c r="Z4" s="151">
        <v>44562</v>
      </c>
      <c r="AA4" s="151">
        <v>44593</v>
      </c>
      <c r="AB4" s="151">
        <v>44621</v>
      </c>
      <c r="AC4" s="151">
        <v>44652</v>
      </c>
      <c r="AD4" s="151">
        <v>44682</v>
      </c>
      <c r="AE4" s="151">
        <v>44713</v>
      </c>
      <c r="AF4" s="151">
        <v>44743</v>
      </c>
      <c r="AG4" s="151">
        <v>44774</v>
      </c>
      <c r="AH4" s="151">
        <v>44805</v>
      </c>
      <c r="AI4" s="151">
        <v>44835</v>
      </c>
      <c r="AJ4" s="151">
        <v>44866</v>
      </c>
      <c r="AK4" s="151">
        <v>44896</v>
      </c>
      <c r="AL4" s="151">
        <v>44927</v>
      </c>
      <c r="AM4" s="151">
        <v>44958</v>
      </c>
      <c r="AN4" s="151">
        <v>44986</v>
      </c>
      <c r="AO4" s="151">
        <v>45017</v>
      </c>
      <c r="AP4" s="151">
        <v>45047</v>
      </c>
      <c r="AQ4" s="151">
        <v>45078</v>
      </c>
      <c r="AR4" s="151">
        <v>45108</v>
      </c>
      <c r="AS4" s="151">
        <v>45139</v>
      </c>
      <c r="AT4" s="151">
        <v>45170</v>
      </c>
      <c r="AU4" s="151">
        <v>45200</v>
      </c>
      <c r="AV4" s="151">
        <v>45231</v>
      </c>
      <c r="AW4" s="151">
        <v>45261</v>
      </c>
      <c r="AX4" s="151">
        <v>45292</v>
      </c>
      <c r="AY4" s="151">
        <v>45323</v>
      </c>
      <c r="AZ4" s="151">
        <v>45352</v>
      </c>
      <c r="BA4" s="151">
        <v>45383</v>
      </c>
      <c r="BB4" s="151">
        <v>45413</v>
      </c>
      <c r="BC4" s="151">
        <v>45444</v>
      </c>
      <c r="BD4" s="151">
        <v>45474</v>
      </c>
      <c r="BE4" s="151">
        <v>45505</v>
      </c>
    </row>
    <row r="5" spans="1:57" x14ac:dyDescent="0.35">
      <c r="A5" s="120" t="s">
        <v>48</v>
      </c>
      <c r="B5" s="89">
        <f>'DR_3A Participants'!B9</f>
        <v>15156</v>
      </c>
      <c r="C5" s="89">
        <f>'DR_3A Participants'!C9</f>
        <v>14225</v>
      </c>
      <c r="D5" s="89">
        <f>'DR_3A Participants'!D9</f>
        <v>15129</v>
      </c>
      <c r="E5" s="89">
        <f>'DR_3A Participants'!E9</f>
        <v>15135</v>
      </c>
      <c r="F5" s="89">
        <f>'DR_3A Participants'!F9</f>
        <v>15394</v>
      </c>
      <c r="G5" s="89">
        <f>'DR_3A Participants'!G9</f>
        <v>15708</v>
      </c>
      <c r="H5" s="89">
        <f>'DR_3A Participants'!H9</f>
        <v>15914</v>
      </c>
      <c r="I5" s="89">
        <f>'DR_3A Participants'!I9</f>
        <v>16041</v>
      </c>
      <c r="J5" s="89">
        <f>'DR_3A Participants'!J9</f>
        <v>14472</v>
      </c>
      <c r="K5" s="89">
        <f>'DR_3A Participants'!K9</f>
        <v>14145</v>
      </c>
      <c r="L5" s="89">
        <f>'DR_3A Participants'!L9</f>
        <v>13349</v>
      </c>
      <c r="M5" s="89">
        <f>'DR_3A Participants'!M9</f>
        <v>16385</v>
      </c>
      <c r="N5" s="89">
        <f>'DR_3A Participants'!N9</f>
        <v>15429</v>
      </c>
      <c r="O5" s="89">
        <f>'DR_3A Participants'!O9</f>
        <v>15782</v>
      </c>
      <c r="P5" s="89">
        <f>'DR_3A Participants'!P9</f>
        <v>16639</v>
      </c>
      <c r="Q5" s="89">
        <f>'DR_3A Participants'!Q9</f>
        <v>16704</v>
      </c>
      <c r="R5" s="89">
        <f>'DR_3A Participants'!R9</f>
        <v>16732</v>
      </c>
      <c r="S5" s="89">
        <f>'DR_3A Participants'!S9</f>
        <v>16691</v>
      </c>
      <c r="T5" s="89">
        <f>'DR_3A Participants'!T9</f>
        <v>16725</v>
      </c>
      <c r="U5" s="89">
        <f>'DR_3A Participants'!U9</f>
        <v>16662</v>
      </c>
      <c r="V5" s="89">
        <f>'DR_3A Participants'!V9</f>
        <v>15811</v>
      </c>
      <c r="W5" s="89">
        <f>'DR_3A Participants'!W9</f>
        <v>16950</v>
      </c>
      <c r="X5" s="89">
        <f>'DR_3A Participants'!X9</f>
        <v>16981</v>
      </c>
      <c r="Y5" s="89">
        <f>'DR_3A Participants'!Y9</f>
        <v>17092</v>
      </c>
      <c r="Z5" s="89">
        <f>'DR_3A Participants'!Z9</f>
        <v>15187</v>
      </c>
      <c r="AA5" s="89">
        <f>'DR_3A Participants'!AA9</f>
        <v>13294</v>
      </c>
      <c r="AB5" s="89">
        <f>'DR_3A Participants'!AB9</f>
        <v>12813</v>
      </c>
      <c r="AC5" s="89">
        <f>'DR_3A Participants'!AC9</f>
        <v>10920</v>
      </c>
      <c r="AD5" s="89">
        <f>'DR_3A Participants'!AD9</f>
        <v>10111</v>
      </c>
      <c r="AE5" s="89">
        <f>'DR_3A Participants'!AE9</f>
        <v>10044</v>
      </c>
      <c r="AF5" s="89">
        <f>'DR_3A Participants'!AF9</f>
        <v>10919</v>
      </c>
      <c r="AG5" s="89">
        <f>'DR_3A Participants'!AG9</f>
        <v>12048</v>
      </c>
      <c r="AH5" s="89">
        <f>'DR_3A Participants'!AH9</f>
        <v>13123</v>
      </c>
      <c r="AI5" s="89">
        <f>'DR_3A Participants'!AI9</f>
        <v>13761</v>
      </c>
      <c r="AJ5" s="89">
        <f>'DR_3A Participants'!AJ9</f>
        <v>14318</v>
      </c>
      <c r="AK5" s="153">
        <f>'[1]PA-I-56'!$E$69</f>
        <v>14684</v>
      </c>
      <c r="AL5" s="153">
        <f>'[1]PA-I-56'!$E$70</f>
        <v>15032</v>
      </c>
      <c r="AM5" s="89">
        <f t="shared" ref="AM5:AS5" si="1">AL5*(1+AM3)</f>
        <v>15064.905027674391</v>
      </c>
      <c r="AN5" s="89">
        <f t="shared" si="1"/>
        <v>15097.88208440987</v>
      </c>
      <c r="AO5" s="89">
        <f t="shared" si="1"/>
        <v>15130.931327877952</v>
      </c>
      <c r="AP5" s="89">
        <f t="shared" si="1"/>
        <v>15164.052916095297</v>
      </c>
      <c r="AQ5" s="89">
        <f t="shared" si="1"/>
        <v>15197.247007424467</v>
      </c>
      <c r="AR5" s="89">
        <f t="shared" si="1"/>
        <v>15230.513760574671</v>
      </c>
      <c r="AS5" s="89">
        <f t="shared" si="1"/>
        <v>15263.85333460254</v>
      </c>
      <c r="AT5" s="89">
        <f t="shared" ref="AT5" si="2">AS5*(1+AT3)</f>
        <v>15297.265888912874</v>
      </c>
      <c r="AU5" s="89">
        <f t="shared" ref="AU5" si="3">AT5*(1+AU3)</f>
        <v>15330.751583259416</v>
      </c>
      <c r="AV5" s="89">
        <f t="shared" ref="AV5" si="4">AU5*(1+AV3)</f>
        <v>15364.310577745604</v>
      </c>
      <c r="AW5" s="89">
        <f t="shared" ref="AW5" si="5">AV5*(1+AW3)</f>
        <v>15397.943032825346</v>
      </c>
      <c r="AX5" s="89">
        <f t="shared" ref="AX5" si="6">AW5*(1+AX3)</f>
        <v>15431.64910930378</v>
      </c>
      <c r="AY5" s="89">
        <f t="shared" ref="AY5" si="7">AX5*(1+AY3)</f>
        <v>15465.42896833805</v>
      </c>
      <c r="AZ5" s="89">
        <f t="shared" ref="AZ5" si="8">AY5*(1+AZ3)</f>
        <v>15499.282771438071</v>
      </c>
      <c r="BA5" s="89">
        <f t="shared" ref="BA5" si="9">AZ5*(1+BA3)</f>
        <v>15533.210680467302</v>
      </c>
      <c r="BB5" s="89">
        <f t="shared" ref="BB5" si="10">BA5*(1+BB3)</f>
        <v>15567.212857643523</v>
      </c>
      <c r="BC5" s="89">
        <f t="shared" ref="BC5" si="11">BB5*(1+BC3)</f>
        <v>15601.289465539605</v>
      </c>
      <c r="BD5" s="89">
        <f t="shared" ref="BD5" si="12">BC5*(1+BD3)</f>
        <v>15635.440667084295</v>
      </c>
      <c r="BE5" s="89">
        <f t="shared" ref="BE5" si="13">BD5*(1+BE3)</f>
        <v>15669.666625562988</v>
      </c>
    </row>
    <row r="6" spans="1:57" s="95" customFormat="1" x14ac:dyDescent="0.35">
      <c r="A6" s="119" t="s">
        <v>49</v>
      </c>
      <c r="B6" s="151">
        <f t="shared" ref="B6:I6" si="14">B4</f>
        <v>43831</v>
      </c>
      <c r="C6" s="151">
        <f t="shared" si="14"/>
        <v>43862</v>
      </c>
      <c r="D6" s="151">
        <f t="shared" si="14"/>
        <v>43891</v>
      </c>
      <c r="E6" s="151">
        <f t="shared" si="14"/>
        <v>43922</v>
      </c>
      <c r="F6" s="151">
        <f t="shared" si="14"/>
        <v>43952</v>
      </c>
      <c r="G6" s="151">
        <f t="shared" si="14"/>
        <v>43983</v>
      </c>
      <c r="H6" s="151">
        <f t="shared" si="14"/>
        <v>44013</v>
      </c>
      <c r="I6" s="151">
        <f t="shared" si="14"/>
        <v>44044</v>
      </c>
      <c r="J6" s="151">
        <f t="shared" ref="J6:AG6" si="15">J4</f>
        <v>44075</v>
      </c>
      <c r="K6" s="151">
        <f t="shared" si="15"/>
        <v>44105</v>
      </c>
      <c r="L6" s="151">
        <f t="shared" si="15"/>
        <v>44136</v>
      </c>
      <c r="M6" s="151">
        <f t="shared" si="15"/>
        <v>44166</v>
      </c>
      <c r="N6" s="151">
        <f t="shared" si="15"/>
        <v>44197</v>
      </c>
      <c r="O6" s="151">
        <f>O4</f>
        <v>44228</v>
      </c>
      <c r="P6" s="151">
        <f t="shared" si="15"/>
        <v>44256</v>
      </c>
      <c r="Q6" s="151">
        <f t="shared" si="15"/>
        <v>44287</v>
      </c>
      <c r="R6" s="151">
        <f t="shared" si="15"/>
        <v>44317</v>
      </c>
      <c r="S6" s="151">
        <f t="shared" si="15"/>
        <v>44348</v>
      </c>
      <c r="T6" s="151">
        <f t="shared" si="15"/>
        <v>44378</v>
      </c>
      <c r="U6" s="151">
        <f t="shared" si="15"/>
        <v>44409</v>
      </c>
      <c r="V6" s="151">
        <f t="shared" si="15"/>
        <v>44440</v>
      </c>
      <c r="W6" s="151">
        <f t="shared" si="15"/>
        <v>44470</v>
      </c>
      <c r="X6" s="151">
        <f t="shared" si="15"/>
        <v>44501</v>
      </c>
      <c r="Y6" s="151">
        <f t="shared" si="15"/>
        <v>44531</v>
      </c>
      <c r="Z6" s="151">
        <f t="shared" si="15"/>
        <v>44562</v>
      </c>
      <c r="AA6" s="151">
        <f t="shared" si="15"/>
        <v>44593</v>
      </c>
      <c r="AB6" s="151">
        <f t="shared" si="15"/>
        <v>44621</v>
      </c>
      <c r="AC6" s="151">
        <f t="shared" si="15"/>
        <v>44652</v>
      </c>
      <c r="AD6" s="151">
        <f t="shared" si="15"/>
        <v>44682</v>
      </c>
      <c r="AE6" s="151">
        <f t="shared" si="15"/>
        <v>44713</v>
      </c>
      <c r="AF6" s="151">
        <f t="shared" si="15"/>
        <v>44743</v>
      </c>
      <c r="AG6" s="151">
        <f t="shared" si="15"/>
        <v>44774</v>
      </c>
      <c r="AH6" s="151">
        <f t="shared" ref="AH6:AM6" si="16">AH4</f>
        <v>44805</v>
      </c>
      <c r="AI6" s="151">
        <f t="shared" si="16"/>
        <v>44835</v>
      </c>
      <c r="AJ6" s="151">
        <f t="shared" si="16"/>
        <v>44866</v>
      </c>
      <c r="AK6" s="151">
        <f t="shared" si="16"/>
        <v>44896</v>
      </c>
      <c r="AL6" s="151">
        <f t="shared" si="16"/>
        <v>44927</v>
      </c>
      <c r="AM6" s="151">
        <f t="shared" si="16"/>
        <v>44958</v>
      </c>
      <c r="AN6" s="151">
        <f t="shared" ref="AN6:AP6" si="17">AN4</f>
        <v>44986</v>
      </c>
      <c r="AO6" s="151">
        <f t="shared" si="17"/>
        <v>45017</v>
      </c>
      <c r="AP6" s="151">
        <f t="shared" si="17"/>
        <v>45047</v>
      </c>
      <c r="AQ6" s="151">
        <f t="shared" ref="AQ6:AS6" si="18">AQ4</f>
        <v>45078</v>
      </c>
      <c r="AR6" s="151">
        <f t="shared" si="18"/>
        <v>45108</v>
      </c>
      <c r="AS6" s="151">
        <f t="shared" si="18"/>
        <v>45139</v>
      </c>
      <c r="AT6" s="151">
        <f t="shared" ref="AT6:BE6" si="19">AT4</f>
        <v>45170</v>
      </c>
      <c r="AU6" s="151">
        <f t="shared" si="19"/>
        <v>45200</v>
      </c>
      <c r="AV6" s="151">
        <f t="shared" si="19"/>
        <v>45231</v>
      </c>
      <c r="AW6" s="151">
        <f t="shared" si="19"/>
        <v>45261</v>
      </c>
      <c r="AX6" s="151">
        <f t="shared" si="19"/>
        <v>45292</v>
      </c>
      <c r="AY6" s="151">
        <f t="shared" si="19"/>
        <v>45323</v>
      </c>
      <c r="AZ6" s="151">
        <f t="shared" si="19"/>
        <v>45352</v>
      </c>
      <c r="BA6" s="151">
        <f t="shared" si="19"/>
        <v>45383</v>
      </c>
      <c r="BB6" s="151">
        <f t="shared" si="19"/>
        <v>45413</v>
      </c>
      <c r="BC6" s="151">
        <f t="shared" si="19"/>
        <v>45444</v>
      </c>
      <c r="BD6" s="151">
        <f t="shared" si="19"/>
        <v>45474</v>
      </c>
      <c r="BE6" s="151">
        <f t="shared" si="19"/>
        <v>45505</v>
      </c>
    </row>
    <row r="7" spans="1:57" s="13" customFormat="1" x14ac:dyDescent="0.35">
      <c r="A7" s="120" t="s">
        <v>50</v>
      </c>
      <c r="B7" s="90">
        <f>DR_4!B9</f>
        <v>810754.56000000006</v>
      </c>
      <c r="C7" s="90">
        <f>DR_4!C9</f>
        <v>638892.59000000008</v>
      </c>
      <c r="D7" s="90">
        <f>DR_4!D9</f>
        <v>621567.52</v>
      </c>
      <c r="E7" s="90">
        <f>DR_4!E9</f>
        <v>727285.14</v>
      </c>
      <c r="F7" s="90">
        <f>DR_4!F9</f>
        <v>738987.44</v>
      </c>
      <c r="G7" s="90">
        <f>DR_4!G9</f>
        <v>764753.6</v>
      </c>
      <c r="H7" s="90">
        <f>DR_4!H9</f>
        <v>798039.58000000007</v>
      </c>
      <c r="I7" s="90">
        <f>DR_4!I9</f>
        <v>892769.97</v>
      </c>
      <c r="J7" s="90">
        <f>DR_4!J9</f>
        <v>841318.1</v>
      </c>
      <c r="K7" s="90">
        <f>DR_4!K9</f>
        <v>856968.48</v>
      </c>
      <c r="L7" s="90">
        <f>DR_4!L9</f>
        <v>683611.1399999999</v>
      </c>
      <c r="M7" s="90">
        <f>DR_4!M9</f>
        <v>836152.64999999991</v>
      </c>
      <c r="N7" s="90">
        <f>DR_4!N9</f>
        <v>754034.99</v>
      </c>
      <c r="O7" s="90">
        <f>DR_4!O9</f>
        <v>742981.3899999999</v>
      </c>
      <c r="P7" s="90">
        <f>DR_4!P9</f>
        <v>755100.26</v>
      </c>
      <c r="Q7" s="90">
        <f>DR_4!Q9</f>
        <v>814430.65</v>
      </c>
      <c r="R7" s="90">
        <f>DR_4!R9</f>
        <v>703306.49</v>
      </c>
      <c r="S7" s="90">
        <f>DR_4!S9</f>
        <v>749103.04</v>
      </c>
      <c r="T7" s="90">
        <f>DR_4!T9</f>
        <v>831920.6399999999</v>
      </c>
      <c r="U7" s="90">
        <f>DR_4!U9</f>
        <v>809583.39</v>
      </c>
      <c r="V7" s="90">
        <f>DR_4!V9</f>
        <v>832349.05</v>
      </c>
      <c r="W7" s="90">
        <f>DR_4!W9</f>
        <v>932735.9</v>
      </c>
      <c r="X7" s="90">
        <f>DR_4!X9</f>
        <v>831058.59</v>
      </c>
      <c r="Y7" s="90">
        <f>DR_4!Y9</f>
        <v>816964.13</v>
      </c>
      <c r="Z7" s="90">
        <f>DR_4!Z9</f>
        <v>785601.92999999993</v>
      </c>
      <c r="AA7" s="90">
        <f>DR_4!AA9</f>
        <v>622228.81999999995</v>
      </c>
      <c r="AB7" s="90">
        <f>DR_4!AB9</f>
        <v>606470.18999999994</v>
      </c>
      <c r="AC7" s="90">
        <f>DR_4!AC9</f>
        <v>495915.07999999996</v>
      </c>
      <c r="AD7" s="90">
        <f>DR_4!AD9</f>
        <v>461158.94999999995</v>
      </c>
      <c r="AE7" s="90">
        <f>DR_4!AE9</f>
        <v>482182.81999999995</v>
      </c>
      <c r="AF7" s="90">
        <f>DR_4!AF9</f>
        <v>547266.26</v>
      </c>
      <c r="AG7" s="90">
        <f>DR_4!AG9</f>
        <v>587972.77</v>
      </c>
      <c r="AH7" s="90">
        <f>DR_4!AH9</f>
        <v>784780.64</v>
      </c>
      <c r="AI7" s="90">
        <f>DR_4!AI9</f>
        <v>759935.25</v>
      </c>
      <c r="AJ7" s="90">
        <f>DR_4!AJ9</f>
        <v>735888.81</v>
      </c>
      <c r="AK7" s="156">
        <f>'[1]PA-I-56'!$J$69</f>
        <v>785264.4</v>
      </c>
      <c r="AL7" s="156">
        <f>'[1]PA-I-56'!$J$70</f>
        <v>881508.8</v>
      </c>
      <c r="AM7" s="90">
        <f>TRR_Summary!$B$4*AM5</f>
        <v>757915.3719422986</v>
      </c>
      <c r="AN7" s="90">
        <f>TRR_Summary!$B$4*AN5</f>
        <v>759574.44766666065</v>
      </c>
      <c r="AO7" s="90">
        <f>TRR_Summary!$B$4*AO5</f>
        <v>761237.15510553983</v>
      </c>
      <c r="AP7" s="90">
        <f>TRR_Summary!$B$4*AP5</f>
        <v>762903.50220875442</v>
      </c>
      <c r="AQ7" s="90">
        <f>TRR_Summary!$B$4*AQ5</f>
        <v>764573.49694352492</v>
      </c>
      <c r="AR7" s="90">
        <f>TRR_Summary!$B$4*AR5</f>
        <v>766247.14729451179</v>
      </c>
      <c r="AS7" s="90">
        <f>TRR_Summary!$B$4*AS5</f>
        <v>767924.46126385382</v>
      </c>
      <c r="AT7" s="90">
        <f>TRR_Summary!$B$4*AT5</f>
        <v>769605.44687120675</v>
      </c>
      <c r="AU7" s="90">
        <f>TRR_Summary!$B$4*AU5</f>
        <v>771290.11215378123</v>
      </c>
      <c r="AV7" s="90">
        <f>TRR_Summary!$B$4*AV5</f>
        <v>772978.46516638133</v>
      </c>
      <c r="AW7" s="90">
        <f>TRR_Summary!$B$4*AW5</f>
        <v>774670.51398144313</v>
      </c>
      <c r="AX7" s="90">
        <f>TRR_Summary!$B$4*AX5</f>
        <v>776366.26668907318</v>
      </c>
      <c r="AY7" s="90">
        <f>TRR_Summary!$B$4*AY5</f>
        <v>778065.73139708734</v>
      </c>
      <c r="AZ7" s="90">
        <f>TRR_Summary!$B$4*AZ5</f>
        <v>779768.91623104934</v>
      </c>
      <c r="BA7" s="90">
        <f>TRR_Summary!$B$4*BA5</f>
        <v>781475.82933431002</v>
      </c>
      <c r="BB7" s="90">
        <f>TRR_Summary!$B$4*BB5</f>
        <v>783186.47886804561</v>
      </c>
      <c r="BC7" s="90">
        <f>TRR_Summary!$B$4*BC5</f>
        <v>784900.87301129755</v>
      </c>
      <c r="BD7" s="90">
        <f>TRR_Summary!$B$4*BD5</f>
        <v>786619.0199610109</v>
      </c>
      <c r="BE7" s="90">
        <f>TRR_Summary!$B$4*BE5</f>
        <v>788340.92793207394</v>
      </c>
    </row>
    <row r="8" spans="1:57" s="95" customFormat="1" x14ac:dyDescent="0.35">
      <c r="A8" s="119" t="s">
        <v>51</v>
      </c>
      <c r="B8" s="151">
        <f t="shared" ref="B8:I8" si="20">B6</f>
        <v>43831</v>
      </c>
      <c r="C8" s="151">
        <f t="shared" si="20"/>
        <v>43862</v>
      </c>
      <c r="D8" s="151">
        <f t="shared" si="20"/>
        <v>43891</v>
      </c>
      <c r="E8" s="151">
        <f t="shared" si="20"/>
        <v>43922</v>
      </c>
      <c r="F8" s="151">
        <f t="shared" si="20"/>
        <v>43952</v>
      </c>
      <c r="G8" s="151">
        <f t="shared" si="20"/>
        <v>43983</v>
      </c>
      <c r="H8" s="151">
        <f t="shared" si="20"/>
        <v>44013</v>
      </c>
      <c r="I8" s="151">
        <f t="shared" si="20"/>
        <v>44044</v>
      </c>
      <c r="J8" s="151">
        <f t="shared" ref="J8:AG8" si="21">J6</f>
        <v>44075</v>
      </c>
      <c r="K8" s="151">
        <f t="shared" si="21"/>
        <v>44105</v>
      </c>
      <c r="L8" s="151">
        <f t="shared" si="21"/>
        <v>44136</v>
      </c>
      <c r="M8" s="151">
        <f t="shared" si="21"/>
        <v>44166</v>
      </c>
      <c r="N8" s="151">
        <f t="shared" si="21"/>
        <v>44197</v>
      </c>
      <c r="O8" s="151">
        <f>O6</f>
        <v>44228</v>
      </c>
      <c r="P8" s="151">
        <f t="shared" si="21"/>
        <v>44256</v>
      </c>
      <c r="Q8" s="151">
        <f t="shared" si="21"/>
        <v>44287</v>
      </c>
      <c r="R8" s="151">
        <f t="shared" si="21"/>
        <v>44317</v>
      </c>
      <c r="S8" s="151">
        <f t="shared" si="21"/>
        <v>44348</v>
      </c>
      <c r="T8" s="151">
        <f t="shared" si="21"/>
        <v>44378</v>
      </c>
      <c r="U8" s="151">
        <f t="shared" si="21"/>
        <v>44409</v>
      </c>
      <c r="V8" s="151">
        <f t="shared" si="21"/>
        <v>44440</v>
      </c>
      <c r="W8" s="151">
        <f t="shared" si="21"/>
        <v>44470</v>
      </c>
      <c r="X8" s="151">
        <f t="shared" si="21"/>
        <v>44501</v>
      </c>
      <c r="Y8" s="151">
        <f t="shared" si="21"/>
        <v>44531</v>
      </c>
      <c r="Z8" s="151">
        <f t="shared" si="21"/>
        <v>44562</v>
      </c>
      <c r="AA8" s="151">
        <f t="shared" si="21"/>
        <v>44593</v>
      </c>
      <c r="AB8" s="151">
        <f t="shared" si="21"/>
        <v>44621</v>
      </c>
      <c r="AC8" s="151">
        <f t="shared" si="21"/>
        <v>44652</v>
      </c>
      <c r="AD8" s="151">
        <f t="shared" si="21"/>
        <v>44682</v>
      </c>
      <c r="AE8" s="151">
        <f t="shared" si="21"/>
        <v>44713</v>
      </c>
      <c r="AF8" s="151">
        <f t="shared" si="21"/>
        <v>44743</v>
      </c>
      <c r="AG8" s="151">
        <f t="shared" si="21"/>
        <v>44774</v>
      </c>
      <c r="AH8" s="151">
        <f t="shared" ref="AH8:AM8" si="22">AH6</f>
        <v>44805</v>
      </c>
      <c r="AI8" s="151">
        <f t="shared" si="22"/>
        <v>44835</v>
      </c>
      <c r="AJ8" s="151">
        <f t="shared" si="22"/>
        <v>44866</v>
      </c>
      <c r="AK8" s="151">
        <f t="shared" si="22"/>
        <v>44896</v>
      </c>
      <c r="AL8" s="151">
        <f t="shared" si="22"/>
        <v>44927</v>
      </c>
      <c r="AM8" s="151">
        <f t="shared" si="22"/>
        <v>44958</v>
      </c>
      <c r="AN8" s="151">
        <f t="shared" ref="AN8:AP8" si="23">AN6</f>
        <v>44986</v>
      </c>
      <c r="AO8" s="151">
        <f t="shared" si="23"/>
        <v>45017</v>
      </c>
      <c r="AP8" s="151">
        <f t="shared" si="23"/>
        <v>45047</v>
      </c>
      <c r="AQ8" s="151">
        <f t="shared" ref="AQ8:AS8" si="24">AQ6</f>
        <v>45078</v>
      </c>
      <c r="AR8" s="151">
        <f t="shared" si="24"/>
        <v>45108</v>
      </c>
      <c r="AS8" s="151">
        <f t="shared" si="24"/>
        <v>45139</v>
      </c>
      <c r="AT8" s="151">
        <f t="shared" ref="AT8:BE8" si="25">AT6</f>
        <v>45170</v>
      </c>
      <c r="AU8" s="151">
        <f t="shared" si="25"/>
        <v>45200</v>
      </c>
      <c r="AV8" s="151">
        <f t="shared" si="25"/>
        <v>45231</v>
      </c>
      <c r="AW8" s="151">
        <f t="shared" si="25"/>
        <v>45261</v>
      </c>
      <c r="AX8" s="151">
        <f t="shared" si="25"/>
        <v>45292</v>
      </c>
      <c r="AY8" s="151">
        <f t="shared" si="25"/>
        <v>45323</v>
      </c>
      <c r="AZ8" s="151">
        <f t="shared" si="25"/>
        <v>45352</v>
      </c>
      <c r="BA8" s="151">
        <f t="shared" si="25"/>
        <v>45383</v>
      </c>
      <c r="BB8" s="151">
        <f t="shared" si="25"/>
        <v>45413</v>
      </c>
      <c r="BC8" s="151">
        <f t="shared" si="25"/>
        <v>45444</v>
      </c>
      <c r="BD8" s="151">
        <f t="shared" si="25"/>
        <v>45474</v>
      </c>
      <c r="BE8" s="151">
        <f t="shared" si="25"/>
        <v>45505</v>
      </c>
    </row>
    <row r="9" spans="1:57" x14ac:dyDescent="0.35">
      <c r="A9" s="120" t="s">
        <v>35</v>
      </c>
      <c r="B9" s="77">
        <f>DR_1!C14</f>
        <v>126227</v>
      </c>
      <c r="C9" s="77">
        <f>DR_1!D14</f>
        <v>100664</v>
      </c>
      <c r="D9" s="77">
        <f>DR_1!E14</f>
        <v>98711</v>
      </c>
      <c r="E9" s="77">
        <f>DR_1!F14</f>
        <v>114333</v>
      </c>
      <c r="F9" s="77">
        <f>DR_1!G14</f>
        <v>115499</v>
      </c>
      <c r="G9" s="77">
        <f>DR_1!H14</f>
        <v>119948</v>
      </c>
      <c r="H9" s="77">
        <f>DR_1!I14</f>
        <v>124826</v>
      </c>
      <c r="I9" s="77">
        <f>DR_1!J14</f>
        <v>138711</v>
      </c>
      <c r="J9" s="77">
        <f>DR_1!K14</f>
        <v>126671</v>
      </c>
      <c r="K9" s="77">
        <f>DR_1!L14</f>
        <v>127702</v>
      </c>
      <c r="L9" s="77">
        <f>DR_1!M14</f>
        <v>102629</v>
      </c>
      <c r="M9" s="77">
        <f>DR_1!N14</f>
        <v>148848</v>
      </c>
      <c r="N9" s="77">
        <f>DR_1!O14</f>
        <v>118605</v>
      </c>
      <c r="O9" s="77">
        <f>DR_1!P14</f>
        <v>116789</v>
      </c>
      <c r="P9" s="77">
        <f>DR_1!Q14</f>
        <v>119356</v>
      </c>
      <c r="Q9" s="77">
        <f>DR_1!R14</f>
        <v>128084</v>
      </c>
      <c r="R9" s="77">
        <f>DR_1!S14</f>
        <v>111503</v>
      </c>
      <c r="S9" s="77">
        <f>DR_1!T14</f>
        <v>117338</v>
      </c>
      <c r="T9" s="77">
        <f>DR_1!U14</f>
        <v>130283</v>
      </c>
      <c r="U9" s="77">
        <f>DR_1!V14</f>
        <v>127131</v>
      </c>
      <c r="V9" s="77">
        <f>DR_1!W14</f>
        <v>127121</v>
      </c>
      <c r="W9" s="77">
        <f>DR_1!X14</f>
        <v>137123</v>
      </c>
      <c r="X9" s="77">
        <f>DR_1!Y14</f>
        <v>122153</v>
      </c>
      <c r="Y9" s="77">
        <f>DR_1!Z14</f>
        <v>120500</v>
      </c>
      <c r="Z9" s="77">
        <f>DR_1!AA14</f>
        <v>115589</v>
      </c>
      <c r="AA9" s="77">
        <f>DR_1!AB14</f>
        <v>92454</v>
      </c>
      <c r="AB9" s="77">
        <f>DR_1!AC14</f>
        <v>91051</v>
      </c>
      <c r="AC9" s="77">
        <f>DR_1!AD14</f>
        <v>74605</v>
      </c>
      <c r="AD9" s="77">
        <f>DR_1!AE14</f>
        <v>70157</v>
      </c>
      <c r="AE9" s="77">
        <f>DR_1!AF14</f>
        <v>72630</v>
      </c>
      <c r="AF9" s="77">
        <f>DR_1!AG14</f>
        <v>81622</v>
      </c>
      <c r="AG9" s="77">
        <f>DR_1!AH14</f>
        <v>88479</v>
      </c>
      <c r="AH9" s="77">
        <f>DR_1!AI14</f>
        <v>111525</v>
      </c>
      <c r="AI9" s="77">
        <f>DR_1!AJ14</f>
        <v>104033</v>
      </c>
      <c r="AJ9" s="77">
        <f>DR_1!AK14</f>
        <v>100995</v>
      </c>
      <c r="AK9" s="157">
        <f>'[1]PA-I-56'!$K$69/100</f>
        <v>107584</v>
      </c>
      <c r="AL9" s="157">
        <f>'[1]PA-I-56'!$K$70/100</f>
        <v>121409</v>
      </c>
      <c r="AM9" s="114">
        <f>TRR_Summary!$B$5*AM5/100</f>
        <v>110727.05195340679</v>
      </c>
      <c r="AN9" s="114">
        <f>TRR_Summary!$B$5*AN5/100</f>
        <v>110969.43332041254</v>
      </c>
      <c r="AO9" s="114">
        <f>TRR_Summary!$B$5*AO5/100</f>
        <v>111212.34525990294</v>
      </c>
      <c r="AP9" s="114">
        <f>TRR_Summary!$B$5*AP5/100</f>
        <v>111455.78893330043</v>
      </c>
      <c r="AQ9" s="114">
        <f>TRR_Summary!$B$5*AQ5/100</f>
        <v>111699.76550456982</v>
      </c>
      <c r="AR9" s="114">
        <f>TRR_Summary!$B$5*AR5/100</f>
        <v>111944.27614022384</v>
      </c>
      <c r="AS9" s="114">
        <f>TRR_Summary!$B$5*AS5/100</f>
        <v>112189.32200932867</v>
      </c>
      <c r="AT9" s="114">
        <f>TRR_Summary!$B$5*AT5/100</f>
        <v>112434.90428350963</v>
      </c>
      <c r="AU9" s="114">
        <f>TRR_Summary!$B$5*AU5/100</f>
        <v>112681.02413695671</v>
      </c>
      <c r="AV9" s="114">
        <f>TRR_Summary!$B$5*AV5/100</f>
        <v>112927.68274643019</v>
      </c>
      <c r="AW9" s="114">
        <f>TRR_Summary!$B$5*AW5/100</f>
        <v>113174.88129126628</v>
      </c>
      <c r="AX9" s="114">
        <f>TRR_Summary!$B$5*AX5/100</f>
        <v>113422.62095338279</v>
      </c>
      <c r="AY9" s="114">
        <f>TRR_Summary!$B$5*AY5/100</f>
        <v>113670.90291728466</v>
      </c>
      <c r="AZ9" s="114">
        <f>TRR_Summary!$B$5*AZ5/100</f>
        <v>113919.72837006982</v>
      </c>
      <c r="BA9" s="114">
        <f>TRR_Summary!$B$5*BA5/100</f>
        <v>114169.09850143468</v>
      </c>
      <c r="BB9" s="114">
        <f>TRR_Summary!$B$5*BB5/100</f>
        <v>114419.01450367989</v>
      </c>
      <c r="BC9" s="114">
        <f>TRR_Summary!$B$5*BC5/100</f>
        <v>114669.47757171611</v>
      </c>
      <c r="BD9" s="114">
        <f>TRR_Summary!$B$5*BD5/100</f>
        <v>114920.48890306958</v>
      </c>
      <c r="BE9" s="114">
        <f>TRR_Summary!$B$5*BE5/100</f>
        <v>115172.04969788795</v>
      </c>
    </row>
    <row r="10" spans="1:57" s="95" customFormat="1" x14ac:dyDescent="0.35">
      <c r="A10" s="119" t="s">
        <v>52</v>
      </c>
      <c r="B10" s="151">
        <f t="shared" ref="B10:I10" si="26">B8</f>
        <v>43831</v>
      </c>
      <c r="C10" s="151">
        <f t="shared" si="26"/>
        <v>43862</v>
      </c>
      <c r="D10" s="151">
        <f t="shared" si="26"/>
        <v>43891</v>
      </c>
      <c r="E10" s="151">
        <f t="shared" si="26"/>
        <v>43922</v>
      </c>
      <c r="F10" s="151">
        <f t="shared" si="26"/>
        <v>43952</v>
      </c>
      <c r="G10" s="151">
        <f t="shared" si="26"/>
        <v>43983</v>
      </c>
      <c r="H10" s="151">
        <f t="shared" si="26"/>
        <v>44013</v>
      </c>
      <c r="I10" s="151">
        <f t="shared" si="26"/>
        <v>44044</v>
      </c>
      <c r="J10" s="151">
        <f t="shared" ref="J10:P10" si="27">J8</f>
        <v>44075</v>
      </c>
      <c r="K10" s="151">
        <f t="shared" si="27"/>
        <v>44105</v>
      </c>
      <c r="L10" s="151">
        <f t="shared" si="27"/>
        <v>44136</v>
      </c>
      <c r="M10" s="151">
        <f t="shared" si="27"/>
        <v>44166</v>
      </c>
      <c r="N10" s="151">
        <f t="shared" si="27"/>
        <v>44197</v>
      </c>
      <c r="O10" s="151">
        <f>O8</f>
        <v>44228</v>
      </c>
      <c r="P10" s="151">
        <f t="shared" si="27"/>
        <v>44256</v>
      </c>
      <c r="Q10" s="151">
        <f t="shared" ref="Q10:AG10" si="28">Q8</f>
        <v>44287</v>
      </c>
      <c r="R10" s="151">
        <f t="shared" si="28"/>
        <v>44317</v>
      </c>
      <c r="S10" s="151">
        <f t="shared" si="28"/>
        <v>44348</v>
      </c>
      <c r="T10" s="151">
        <f t="shared" si="28"/>
        <v>44378</v>
      </c>
      <c r="U10" s="151">
        <f t="shared" si="28"/>
        <v>44409</v>
      </c>
      <c r="V10" s="151">
        <f t="shared" si="28"/>
        <v>44440</v>
      </c>
      <c r="W10" s="151">
        <f t="shared" si="28"/>
        <v>44470</v>
      </c>
      <c r="X10" s="151">
        <f t="shared" si="28"/>
        <v>44501</v>
      </c>
      <c r="Y10" s="151">
        <f t="shared" si="28"/>
        <v>44531</v>
      </c>
      <c r="Z10" s="151">
        <f t="shared" si="28"/>
        <v>44562</v>
      </c>
      <c r="AA10" s="151">
        <f t="shared" si="28"/>
        <v>44593</v>
      </c>
      <c r="AB10" s="151">
        <f t="shared" si="28"/>
        <v>44621</v>
      </c>
      <c r="AC10" s="151">
        <f t="shared" si="28"/>
        <v>44652</v>
      </c>
      <c r="AD10" s="151">
        <f t="shared" si="28"/>
        <v>44682</v>
      </c>
      <c r="AE10" s="151">
        <f t="shared" si="28"/>
        <v>44713</v>
      </c>
      <c r="AF10" s="151">
        <f t="shared" si="28"/>
        <v>44743</v>
      </c>
      <c r="AG10" s="151">
        <f t="shared" si="28"/>
        <v>44774</v>
      </c>
      <c r="AH10" s="151">
        <f t="shared" ref="AH10:AM10" si="29">AH8</f>
        <v>44805</v>
      </c>
      <c r="AI10" s="151">
        <f t="shared" si="29"/>
        <v>44835</v>
      </c>
      <c r="AJ10" s="151">
        <f t="shared" si="29"/>
        <v>44866</v>
      </c>
      <c r="AK10" s="151">
        <f t="shared" si="29"/>
        <v>44896</v>
      </c>
      <c r="AL10" s="151">
        <f t="shared" si="29"/>
        <v>44927</v>
      </c>
      <c r="AM10" s="151">
        <f t="shared" si="29"/>
        <v>44958</v>
      </c>
      <c r="AN10" s="151">
        <f t="shared" ref="AN10:AP10" si="30">AN8</f>
        <v>44986</v>
      </c>
      <c r="AO10" s="151">
        <f t="shared" si="30"/>
        <v>45017</v>
      </c>
      <c r="AP10" s="151">
        <f t="shared" si="30"/>
        <v>45047</v>
      </c>
      <c r="AQ10" s="151">
        <f t="shared" ref="AQ10:AS10" si="31">AQ8</f>
        <v>45078</v>
      </c>
      <c r="AR10" s="151">
        <f t="shared" si="31"/>
        <v>45108</v>
      </c>
      <c r="AS10" s="151">
        <f t="shared" si="31"/>
        <v>45139</v>
      </c>
      <c r="AT10" s="151">
        <f t="shared" ref="AT10:BE10" si="32">AT8</f>
        <v>45170</v>
      </c>
      <c r="AU10" s="151">
        <f t="shared" si="32"/>
        <v>45200</v>
      </c>
      <c r="AV10" s="151">
        <f t="shared" si="32"/>
        <v>45231</v>
      </c>
      <c r="AW10" s="151">
        <f t="shared" si="32"/>
        <v>45261</v>
      </c>
      <c r="AX10" s="151">
        <f t="shared" si="32"/>
        <v>45292</v>
      </c>
      <c r="AY10" s="151">
        <f t="shared" si="32"/>
        <v>45323</v>
      </c>
      <c r="AZ10" s="151">
        <f t="shared" si="32"/>
        <v>45352</v>
      </c>
      <c r="BA10" s="151">
        <f t="shared" si="32"/>
        <v>45383</v>
      </c>
      <c r="BB10" s="151">
        <f t="shared" si="32"/>
        <v>45413</v>
      </c>
      <c r="BC10" s="151">
        <f t="shared" si="32"/>
        <v>45444</v>
      </c>
      <c r="BD10" s="151">
        <f t="shared" si="32"/>
        <v>45474</v>
      </c>
      <c r="BE10" s="151">
        <f t="shared" si="32"/>
        <v>45505</v>
      </c>
    </row>
    <row r="11" spans="1:57" x14ac:dyDescent="0.35">
      <c r="A11" s="121" t="s">
        <v>36</v>
      </c>
      <c r="B11" s="122">
        <f>DR_2!C14</f>
        <v>126186</v>
      </c>
      <c r="C11" s="122">
        <f>DR_2!D14</f>
        <v>100627</v>
      </c>
      <c r="D11" s="122">
        <f>DR_2!E14</f>
        <v>98673</v>
      </c>
      <c r="E11" s="122">
        <f>DR_2!F14</f>
        <v>114281</v>
      </c>
      <c r="F11" s="122">
        <f>DR_2!G14</f>
        <v>115439</v>
      </c>
      <c r="G11" s="122">
        <f>DR_2!H14</f>
        <v>119893</v>
      </c>
      <c r="H11" s="122">
        <f>DR_2!I14</f>
        <v>124756</v>
      </c>
      <c r="I11" s="122">
        <f>DR_2!J14</f>
        <v>138661</v>
      </c>
      <c r="J11" s="122">
        <f>DR_2!K14</f>
        <v>126622</v>
      </c>
      <c r="K11" s="122">
        <f>DR_2!L14</f>
        <v>127654</v>
      </c>
      <c r="L11" s="122">
        <f>DR_2!M14</f>
        <v>102582</v>
      </c>
      <c r="M11" s="122">
        <f>DR_2!N14</f>
        <v>148800</v>
      </c>
      <c r="N11" s="122">
        <f>DR_2!O14</f>
        <v>118551</v>
      </c>
      <c r="O11" s="122">
        <f>DR_2!P14</f>
        <v>116742</v>
      </c>
      <c r="P11" s="122">
        <f>DR_2!Q14</f>
        <v>119308</v>
      </c>
      <c r="Q11" s="122">
        <f>DR_2!R14</f>
        <v>128045</v>
      </c>
      <c r="R11" s="122">
        <f>DR_2!S14</f>
        <v>111458</v>
      </c>
      <c r="S11" s="122">
        <f>DR_2!T14</f>
        <v>117299</v>
      </c>
      <c r="T11" s="122">
        <f>DR_2!U14</f>
        <v>130231</v>
      </c>
      <c r="U11" s="122">
        <f>DR_2!V14</f>
        <v>127096</v>
      </c>
      <c r="V11" s="122">
        <f>DR_2!W14</f>
        <v>127094</v>
      </c>
      <c r="W11" s="122">
        <f>DR_2!X14</f>
        <v>137087</v>
      </c>
      <c r="X11" s="122">
        <f>DR_2!Y14</f>
        <v>122124</v>
      </c>
      <c r="Y11" s="122">
        <f>DR_2!Z14</f>
        <v>120476</v>
      </c>
      <c r="Z11" s="122">
        <f>DR_2!AA14</f>
        <v>115578</v>
      </c>
      <c r="AA11" s="122">
        <f>DR_2!AB14</f>
        <v>92445</v>
      </c>
      <c r="AB11" s="122">
        <f>DR_2!AC14</f>
        <v>91038</v>
      </c>
      <c r="AC11" s="122">
        <f>DR_2!AD14</f>
        <v>74596</v>
      </c>
      <c r="AD11" s="122">
        <f>DR_2!AE14</f>
        <v>70157</v>
      </c>
      <c r="AE11" s="122">
        <f>DR_2!AF14</f>
        <v>72629</v>
      </c>
      <c r="AF11" s="122">
        <f>DR_2!AG14</f>
        <v>81615</v>
      </c>
      <c r="AG11" s="122">
        <f>DR_2!AH14</f>
        <v>88467</v>
      </c>
      <c r="AH11" s="122">
        <f>DR_2!AI14</f>
        <v>111515</v>
      </c>
      <c r="AI11" s="122">
        <f>DR_2!AJ14</f>
        <v>104026</v>
      </c>
      <c r="AJ11" s="122">
        <f>DR_2!AK14</f>
        <v>100983</v>
      </c>
      <c r="AK11" s="157">
        <f>TRR_Summary!$B$5*AK5/100</f>
        <v>107927.4</v>
      </c>
      <c r="AL11" s="157">
        <f>TRR_Summary!$B$5*AL5/100</f>
        <v>110485.2</v>
      </c>
      <c r="AM11" s="123">
        <f>TRR_Summary!$B$5*AM5/100</f>
        <v>110727.05195340679</v>
      </c>
      <c r="AN11" s="123">
        <f>TRR_Summary!$B$5*AN5/100</f>
        <v>110969.43332041254</v>
      </c>
      <c r="AO11" s="123">
        <f>TRR_Summary!$B$5*AO5/100</f>
        <v>111212.34525990294</v>
      </c>
      <c r="AP11" s="123">
        <f>TRR_Summary!$B$5*AP5/100</f>
        <v>111455.78893330043</v>
      </c>
      <c r="AQ11" s="123">
        <f>TRR_Summary!$B$5*AQ5/100</f>
        <v>111699.76550456982</v>
      </c>
      <c r="AR11" s="123">
        <f>TRR_Summary!$B$5*AR5/100</f>
        <v>111944.27614022384</v>
      </c>
      <c r="AS11" s="123">
        <f>TRR_Summary!$B$5*AS5/100</f>
        <v>112189.32200932867</v>
      </c>
      <c r="AT11" s="123">
        <f>TRR_Summary!$B$5*AT5/100</f>
        <v>112434.90428350963</v>
      </c>
      <c r="AU11" s="123">
        <f>TRR_Summary!$B$5*AU5/100</f>
        <v>112681.02413695671</v>
      </c>
      <c r="AV11" s="123">
        <f>TRR_Summary!$B$5*AV5/100</f>
        <v>112927.68274643019</v>
      </c>
      <c r="AW11" s="123">
        <f>TRR_Summary!$B$5*AW5/100</f>
        <v>113174.88129126628</v>
      </c>
      <c r="AX11" s="123">
        <f>TRR_Summary!$B$5*AX5/100</f>
        <v>113422.62095338279</v>
      </c>
      <c r="AY11" s="123">
        <f>TRR_Summary!$B$5*AY5/100</f>
        <v>113670.90291728466</v>
      </c>
      <c r="AZ11" s="123">
        <f>TRR_Summary!$B$5*AZ5/100</f>
        <v>113919.72837006982</v>
      </c>
      <c r="BA11" s="123">
        <f>TRR_Summary!$B$5*BA5/100</f>
        <v>114169.09850143468</v>
      </c>
      <c r="BB11" s="123">
        <f>TRR_Summary!$B$5*BB5/100</f>
        <v>114419.01450367989</v>
      </c>
      <c r="BC11" s="123">
        <f>TRR_Summary!$B$5*BC5/100</f>
        <v>114669.47757171611</v>
      </c>
      <c r="BD11" s="123">
        <f>TRR_Summary!$B$5*BD5/100</f>
        <v>114920.48890306958</v>
      </c>
      <c r="BE11" s="123">
        <f>TRR_Summary!$B$5*BE5/100</f>
        <v>115172.04969788795</v>
      </c>
    </row>
    <row r="12" spans="1:57" x14ac:dyDescent="0.35">
      <c r="AL12" s="74"/>
    </row>
    <row r="13" spans="1:57" s="152" customFormat="1" ht="14.75" customHeight="1" x14ac:dyDescent="0.3">
      <c r="A13" s="154" t="s">
        <v>138</v>
      </c>
      <c r="B13" s="154"/>
      <c r="C13" s="155">
        <f>(C5/B5)-1</f>
        <v>-6.1427817366059623E-2</v>
      </c>
      <c r="D13" s="155">
        <f t="shared" ref="D13:AL13" si="33">(D5/C5)-1</f>
        <v>6.355008787346228E-2</v>
      </c>
      <c r="E13" s="155">
        <f t="shared" si="33"/>
        <v>3.9658933174702149E-4</v>
      </c>
      <c r="F13" s="155">
        <f t="shared" si="33"/>
        <v>1.7112652791542837E-2</v>
      </c>
      <c r="G13" s="155">
        <f t="shared" si="33"/>
        <v>2.0397557489931106E-2</v>
      </c>
      <c r="H13" s="155">
        <f t="shared" si="33"/>
        <v>1.3114336643748503E-2</v>
      </c>
      <c r="I13" s="155">
        <f t="shared" si="33"/>
        <v>7.9803946210883492E-3</v>
      </c>
      <c r="J13" s="155">
        <f t="shared" si="33"/>
        <v>-9.7811857116139933E-2</v>
      </c>
      <c r="K13" s="155">
        <f t="shared" si="33"/>
        <v>-2.2595356550580425E-2</v>
      </c>
      <c r="L13" s="155">
        <f t="shared" si="33"/>
        <v>-5.6274301873453503E-2</v>
      </c>
      <c r="M13" s="155">
        <f t="shared" si="33"/>
        <v>0.22743276649936317</v>
      </c>
      <c r="N13" s="155">
        <f t="shared" si="33"/>
        <v>-5.8346048214830692E-2</v>
      </c>
      <c r="O13" s="155">
        <f t="shared" si="33"/>
        <v>2.2878994102015771E-2</v>
      </c>
      <c r="P13" s="155">
        <f t="shared" si="33"/>
        <v>5.4302369788366445E-2</v>
      </c>
      <c r="Q13" s="155">
        <f t="shared" si="33"/>
        <v>3.9064847647094503E-3</v>
      </c>
      <c r="R13" s="155">
        <f t="shared" si="33"/>
        <v>1.6762452107279557E-3</v>
      </c>
      <c r="S13" s="155">
        <f t="shared" si="33"/>
        <v>-2.4503944537412892E-3</v>
      </c>
      <c r="T13" s="155">
        <f t="shared" si="33"/>
        <v>2.0370259421245152E-3</v>
      </c>
      <c r="U13" s="155">
        <f t="shared" si="33"/>
        <v>-3.7668161434977199E-3</v>
      </c>
      <c r="V13" s="155">
        <f t="shared" si="33"/>
        <v>-5.1074300804225148E-2</v>
      </c>
      <c r="W13" s="155">
        <f t="shared" si="33"/>
        <v>7.2038454240718419E-2</v>
      </c>
      <c r="X13" s="155">
        <f t="shared" si="33"/>
        <v>1.8289085545721839E-3</v>
      </c>
      <c r="Y13" s="155">
        <f t="shared" si="33"/>
        <v>6.536717507802825E-3</v>
      </c>
      <c r="Z13" s="155">
        <f t="shared" si="33"/>
        <v>-0.11145565176690853</v>
      </c>
      <c r="AA13" s="155">
        <f t="shared" si="33"/>
        <v>-0.12464607888325541</v>
      </c>
      <c r="AB13" s="155">
        <f t="shared" si="33"/>
        <v>-3.6181736121558616E-2</v>
      </c>
      <c r="AC13" s="155">
        <f t="shared" si="33"/>
        <v>-0.14774057597752288</v>
      </c>
      <c r="AD13" s="155">
        <f t="shared" si="33"/>
        <v>-7.4084249084249043E-2</v>
      </c>
      <c r="AE13" s="155">
        <f t="shared" si="33"/>
        <v>-6.6264464444664162E-3</v>
      </c>
      <c r="AF13" s="155">
        <f t="shared" si="33"/>
        <v>8.7116686579052249E-2</v>
      </c>
      <c r="AG13" s="155">
        <f t="shared" si="33"/>
        <v>0.1033977470464329</v>
      </c>
      <c r="AH13" s="155">
        <f t="shared" si="33"/>
        <v>8.9226427622842053E-2</v>
      </c>
      <c r="AI13" s="155">
        <f t="shared" si="33"/>
        <v>4.8616932103939581E-2</v>
      </c>
      <c r="AJ13" s="155">
        <f t="shared" si="33"/>
        <v>4.0476709541457767E-2</v>
      </c>
      <c r="AK13" s="155">
        <f t="shared" si="33"/>
        <v>2.5562229361642652E-2</v>
      </c>
      <c r="AL13" s="155">
        <f t="shared" si="33"/>
        <v>2.3699264505584239E-2</v>
      </c>
    </row>
    <row r="14" spans="1:57" x14ac:dyDescent="0.35">
      <c r="AK14" s="74"/>
      <c r="AL14" s="155">
        <f>AVERAGE(C13:AL13)</f>
        <v>2.1889986478439735E-3</v>
      </c>
    </row>
    <row r="18" ht="15.75" customHeight="1" x14ac:dyDescent="0.35"/>
    <row r="19" ht="15.75" customHeight="1" x14ac:dyDescent="0.35"/>
  </sheetData>
  <conditionalFormatting sqref="B4:BE4 B6:BE6 B8:BE8 B10:BE10">
    <cfRule type="expression" dxfId="0" priority="4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&amp;L2023 TAP Reconcilable Rider Reports and Projection Model: &amp;A</oddHeader>
  </headerFooter>
  <ignoredErrors>
    <ignoredError sqref="A7:AJ7 A9:AJ9 AN7:XFD7 AM9:XFD9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I5"/>
  <sheetViews>
    <sheetView zoomScaleNormal="100" zoomScaleSheetLayoutView="100" workbookViewId="0">
      <selection activeCell="D13" sqref="D13"/>
    </sheetView>
  </sheetViews>
  <sheetFormatPr defaultColWidth="8.90625" defaultRowHeight="14.5" x14ac:dyDescent="0.35"/>
  <cols>
    <col min="1" max="1" width="20.36328125" customWidth="1"/>
    <col min="2" max="2" width="11.36328125" customWidth="1"/>
    <col min="3" max="3" width="7.6328125" customWidth="1"/>
    <col min="7" max="7" width="9.453125" customWidth="1"/>
    <col min="8" max="8" width="6.54296875" customWidth="1"/>
    <col min="9" max="9" width="11" customWidth="1"/>
    <col min="11" max="11" width="10.08984375" bestFit="1" customWidth="1"/>
  </cols>
  <sheetData>
    <row r="2" spans="1:9" x14ac:dyDescent="0.35">
      <c r="A2" s="13" t="s">
        <v>53</v>
      </c>
      <c r="I2" s="150">
        <v>44895</v>
      </c>
    </row>
    <row r="5" spans="1:9" x14ac:dyDescent="0.35">
      <c r="A5" t="s">
        <v>54</v>
      </c>
      <c r="B5" s="102" t="s">
        <v>55</v>
      </c>
      <c r="C5" t="s">
        <v>56</v>
      </c>
      <c r="D5" s="109" t="s">
        <v>57</v>
      </c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K21"/>
  <sheetViews>
    <sheetView showGridLines="0" topLeftCell="A4" zoomScale="80" zoomScaleNormal="80" zoomScaleSheetLayoutView="80" workbookViewId="0">
      <selection activeCell="D13" sqref="D13"/>
    </sheetView>
  </sheetViews>
  <sheetFormatPr defaultColWidth="8.90625" defaultRowHeight="14.5" x14ac:dyDescent="0.35"/>
  <cols>
    <col min="1" max="1" width="28.54296875" bestFit="1" customWidth="1"/>
    <col min="2" max="2" width="30" customWidth="1"/>
    <col min="3" max="6" width="11.6328125" customWidth="1"/>
    <col min="7" max="7" width="13" customWidth="1"/>
    <col min="8" max="25" width="11.6328125" customWidth="1"/>
    <col min="26" max="37" width="11.453125" customWidth="1"/>
  </cols>
  <sheetData>
    <row r="1" spans="1:37" x14ac:dyDescent="0.35">
      <c r="A1" s="161" t="str">
        <f>"DR-1: Water Billed Volume"</f>
        <v>DR-1: Water Billed Volume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x14ac:dyDescent="0.35">
      <c r="A2" s="85"/>
      <c r="B2" s="86"/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2020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v>2021</v>
      </c>
      <c r="Z2" s="86">
        <f>IF(Z3=1,Y2+1,Y2)</f>
        <v>2021</v>
      </c>
      <c r="AA2" s="86">
        <f t="shared" ref="AA2:AD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ref="AE2" si="1">IF(AE3=1,AD2+1,AD2)</f>
        <v>2022</v>
      </c>
      <c r="AF2" s="86">
        <f t="shared" ref="AF2" si="2">IF(AF3=1,AE2+1,AE2)</f>
        <v>2022</v>
      </c>
      <c r="AG2" s="86">
        <f t="shared" ref="AG2" si="3">IF(AG3=1,AF2+1,AF2)</f>
        <v>2022</v>
      </c>
      <c r="AH2" s="86">
        <f t="shared" ref="AH2" si="4">IF(AH3=1,AG2+1,AG2)</f>
        <v>2022</v>
      </c>
      <c r="AI2" s="86">
        <f t="shared" ref="AI2" si="5">IF(AI3=1,AH2+1,AH2)</f>
        <v>2022</v>
      </c>
      <c r="AJ2" s="86">
        <f t="shared" ref="AJ2" si="6">IF(AJ3=1,AI2+1,AI2)</f>
        <v>2022</v>
      </c>
      <c r="AK2" s="86">
        <f t="shared" ref="AK2" si="7">IF(AK3=1,AJ2+1,AJ2)</f>
        <v>2022</v>
      </c>
    </row>
    <row r="3" spans="1:37" x14ac:dyDescent="0.35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v>12</v>
      </c>
      <c r="O3" s="86">
        <v>1</v>
      </c>
      <c r="P3" s="86">
        <v>2</v>
      </c>
      <c r="Q3" s="86">
        <v>3</v>
      </c>
      <c r="R3" s="86">
        <v>4</v>
      </c>
      <c r="S3" s="86">
        <v>5</v>
      </c>
      <c r="T3" s="86">
        <v>6</v>
      </c>
      <c r="U3" s="86">
        <v>7</v>
      </c>
      <c r="V3" s="86">
        <v>8</v>
      </c>
      <c r="W3" s="86">
        <v>9</v>
      </c>
      <c r="X3" s="86">
        <v>10</v>
      </c>
      <c r="Y3" s="86">
        <v>11</v>
      </c>
      <c r="Z3" s="86">
        <f>IF(Y3&lt;12,Y3+1,1)</f>
        <v>12</v>
      </c>
      <c r="AA3" s="86">
        <f t="shared" ref="AA3:AD3" si="8">IF(Z3&lt;12,Z3+1,1)</f>
        <v>1</v>
      </c>
      <c r="AB3" s="86">
        <f t="shared" si="8"/>
        <v>2</v>
      </c>
      <c r="AC3" s="86">
        <f t="shared" si="8"/>
        <v>3</v>
      </c>
      <c r="AD3" s="86">
        <f t="shared" si="8"/>
        <v>4</v>
      </c>
      <c r="AE3" s="86">
        <f t="shared" ref="AE3:AF3" si="9">IF(AD3&lt;12,AD3+1,1)</f>
        <v>5</v>
      </c>
      <c r="AF3" s="86">
        <f t="shared" si="9"/>
        <v>6</v>
      </c>
      <c r="AG3" s="86">
        <f t="shared" ref="AG3" si="10">IF(AF3&lt;12,AF3+1,1)</f>
        <v>7</v>
      </c>
      <c r="AH3" s="86">
        <f t="shared" ref="AH3" si="11">IF(AG3&lt;12,AG3+1,1)</f>
        <v>8</v>
      </c>
      <c r="AI3" s="86">
        <f t="shared" ref="AI3" si="12">IF(AH3&lt;12,AH3+1,1)</f>
        <v>9</v>
      </c>
      <c r="AJ3" s="86">
        <f t="shared" ref="AJ3" si="13">IF(AI3&lt;12,AI3+1,1)</f>
        <v>10</v>
      </c>
      <c r="AK3" s="86">
        <f t="shared" ref="AK3" si="14">IF(AJ3&lt;12,AJ3+1,1)</f>
        <v>11</v>
      </c>
    </row>
    <row r="4" spans="1:37" ht="71" customHeight="1" x14ac:dyDescent="0.35">
      <c r="A4" s="75" t="s">
        <v>58</v>
      </c>
      <c r="B4" s="76" t="s">
        <v>59</v>
      </c>
      <c r="C4" s="84" t="str">
        <f t="shared" ref="C4:D4" si="15">TEXT(C3*29, "Mmmm")&amp;" "&amp;C2&amp;" Water Billed Volume (CCF)"</f>
        <v>January 2020 Water Billed Volume (CCF)</v>
      </c>
      <c r="D4" s="84" t="str">
        <f t="shared" si="15"/>
        <v>February 2020 Water Billed Volume (CCF)</v>
      </c>
      <c r="E4" s="84" t="str">
        <f>TEXT(E3*29, "Mmmm")&amp;" "&amp;E2&amp;" Water Billed Volume (CCF)"</f>
        <v>March 2020 Water Billed Volume (CCF)</v>
      </c>
      <c r="F4" s="84" t="str">
        <f t="shared" ref="F4:T4" si="16">TEXT(F3*29, "Mmmm")&amp;" "&amp;F2&amp;" Water Billed Volume (CCF)"</f>
        <v>April 2020 Water Billed Volume (CCF)</v>
      </c>
      <c r="G4" s="84" t="str">
        <f t="shared" si="16"/>
        <v>May 2020 Water Billed Volume (CCF)</v>
      </c>
      <c r="H4" s="84" t="str">
        <f t="shared" si="16"/>
        <v>June 2020 Water Billed Volume (CCF)</v>
      </c>
      <c r="I4" s="84" t="str">
        <f t="shared" si="16"/>
        <v>July 2020 Water Billed Volume (CCF)</v>
      </c>
      <c r="J4" s="84" t="str">
        <f t="shared" si="16"/>
        <v>August 2020 Water Billed Volume (CCF)</v>
      </c>
      <c r="K4" s="84" t="str">
        <f t="shared" si="16"/>
        <v>September 2020 Water Billed Volume (CCF)</v>
      </c>
      <c r="L4" s="84" t="str">
        <f t="shared" si="16"/>
        <v>October 2020 Water Billed Volume (CCF)</v>
      </c>
      <c r="M4" s="84" t="str">
        <f t="shared" si="16"/>
        <v>November 2020 Water Billed Volume (CCF)</v>
      </c>
      <c r="N4" s="84" t="str">
        <f t="shared" si="16"/>
        <v>December 2020 Water Billed Volume (CCF)</v>
      </c>
      <c r="O4" s="84" t="str">
        <f t="shared" si="16"/>
        <v>January 2021 Water Billed Volume (CCF)</v>
      </c>
      <c r="P4" s="84" t="str">
        <f t="shared" si="16"/>
        <v>February 2021 Water Billed Volume (CCF)</v>
      </c>
      <c r="Q4" s="84" t="str">
        <f t="shared" si="16"/>
        <v>March 2021 Water Billed Volume (CCF)</v>
      </c>
      <c r="R4" s="84" t="str">
        <f t="shared" si="16"/>
        <v>April 2021 Water Billed Volume (CCF)</v>
      </c>
      <c r="S4" s="84" t="str">
        <f t="shared" si="16"/>
        <v>May 2021 Water Billed Volume (CCF)</v>
      </c>
      <c r="T4" s="84" t="str">
        <f t="shared" si="16"/>
        <v>June 2021 Water Billed Volume (CCF)</v>
      </c>
      <c r="U4" s="84" t="str">
        <f t="shared" ref="U4:Z4" si="17">TEXT(U3*29, "Mmmm")&amp;" "&amp;U2&amp;" Water Billed Volume (CCF)"</f>
        <v>July 2021 Water Billed Volume (CCF)</v>
      </c>
      <c r="V4" s="84" t="str">
        <f t="shared" si="17"/>
        <v>August 2021 Water Billed Volume (CCF)</v>
      </c>
      <c r="W4" s="84" t="str">
        <f t="shared" si="17"/>
        <v>September 2021 Water Billed Volume (CCF)</v>
      </c>
      <c r="X4" s="84" t="str">
        <f t="shared" si="17"/>
        <v>October 2021 Water Billed Volume (CCF)</v>
      </c>
      <c r="Y4" s="84" t="str">
        <f t="shared" si="17"/>
        <v>November 2021 Water Billed Volume (CCF)</v>
      </c>
      <c r="Z4" s="84" t="str">
        <f t="shared" si="17"/>
        <v>December 2021 Water Billed Volume (CCF)</v>
      </c>
      <c r="AA4" s="84" t="str">
        <f t="shared" ref="AA4:AD4" si="18">TEXT(AA3*29, "Mmmm")&amp;" "&amp;AA2&amp;" Water Billed Volume (CCF)"</f>
        <v>January 2022 Water Billed Volume (CCF)</v>
      </c>
      <c r="AB4" s="84" t="str">
        <f t="shared" si="18"/>
        <v>February 2022 Water Billed Volume (CCF)</v>
      </c>
      <c r="AC4" s="84" t="str">
        <f t="shared" si="18"/>
        <v>March 2022 Water Billed Volume (CCF)</v>
      </c>
      <c r="AD4" s="84" t="str">
        <f t="shared" si="18"/>
        <v>April 2022 Water Billed Volume (CCF)</v>
      </c>
      <c r="AE4" s="84" t="str">
        <f t="shared" ref="AE4:AF4" si="19">TEXT(AE3*29, "Mmmm")&amp;" "&amp;AE2&amp;" Water Billed Volume (CCF)"</f>
        <v>May 2022 Water Billed Volume (CCF)</v>
      </c>
      <c r="AF4" s="84" t="str">
        <f t="shared" si="19"/>
        <v>June 2022 Water Billed Volume (CCF)</v>
      </c>
      <c r="AG4" s="84" t="str">
        <f t="shared" ref="AG4:AK4" si="20">TEXT(AG3*29, "Mmmm")&amp;" "&amp;AG2&amp;" Water Billed Volume (CCF)"</f>
        <v>July 2022 Water Billed Volume (CCF)</v>
      </c>
      <c r="AH4" s="84" t="str">
        <f t="shared" si="20"/>
        <v>August 2022 Water Billed Volume (CCF)</v>
      </c>
      <c r="AI4" s="84" t="str">
        <f t="shared" si="20"/>
        <v>September 2022 Water Billed Volume (CCF)</v>
      </c>
      <c r="AJ4" s="84" t="str">
        <f t="shared" si="20"/>
        <v>October 2022 Water Billed Volume (CCF)</v>
      </c>
      <c r="AK4" s="84" t="str">
        <f t="shared" si="20"/>
        <v>November 2022 Water Billed Volume (CCF)</v>
      </c>
    </row>
    <row r="5" spans="1:37" x14ac:dyDescent="0.35">
      <c r="A5" s="5" t="s">
        <v>60</v>
      </c>
      <c r="B5" s="83" t="s">
        <v>61</v>
      </c>
      <c r="C5" s="96">
        <v>126227</v>
      </c>
      <c r="D5" s="96">
        <v>100664</v>
      </c>
      <c r="E5" s="96">
        <v>98711</v>
      </c>
      <c r="F5" s="96">
        <v>114333</v>
      </c>
      <c r="G5" s="96">
        <v>115499</v>
      </c>
      <c r="H5" s="96">
        <v>119948</v>
      </c>
      <c r="I5" s="96">
        <v>124826</v>
      </c>
      <c r="J5" s="96">
        <v>138711</v>
      </c>
      <c r="K5" s="96">
        <v>126671</v>
      </c>
      <c r="L5" s="96">
        <v>127702</v>
      </c>
      <c r="M5" s="96">
        <v>102629</v>
      </c>
      <c r="N5" s="96">
        <v>148848</v>
      </c>
      <c r="O5" s="96">
        <v>118605</v>
      </c>
      <c r="P5" s="96">
        <v>116789</v>
      </c>
      <c r="Q5" s="96">
        <v>119356</v>
      </c>
      <c r="R5" s="96">
        <v>128084</v>
      </c>
      <c r="S5" s="96">
        <v>111503</v>
      </c>
      <c r="T5" s="96">
        <v>117338</v>
      </c>
      <c r="U5" s="96">
        <v>130283</v>
      </c>
      <c r="V5" s="96">
        <v>127131</v>
      </c>
      <c r="W5" s="96">
        <v>127121</v>
      </c>
      <c r="X5" s="96">
        <v>137123</v>
      </c>
      <c r="Y5" s="96">
        <v>122153</v>
      </c>
      <c r="Z5" s="96">
        <v>120500</v>
      </c>
      <c r="AA5" s="96">
        <v>115589</v>
      </c>
      <c r="AB5" s="96">
        <v>92454</v>
      </c>
      <c r="AC5" s="96">
        <v>91051</v>
      </c>
      <c r="AD5" s="96">
        <v>74605</v>
      </c>
      <c r="AE5" s="96">
        <v>70157</v>
      </c>
      <c r="AF5" s="96">
        <v>72630</v>
      </c>
      <c r="AG5" s="96">
        <v>81622</v>
      </c>
      <c r="AH5" s="96">
        <v>88479</v>
      </c>
      <c r="AI5" s="96">
        <v>111525</v>
      </c>
      <c r="AJ5" s="96">
        <v>104033</v>
      </c>
      <c r="AK5" s="96">
        <v>100995</v>
      </c>
    </row>
    <row r="6" spans="1:37" x14ac:dyDescent="0.35">
      <c r="A6" s="5" t="s">
        <v>62</v>
      </c>
      <c r="B6" s="5" t="s">
        <v>63</v>
      </c>
      <c r="C6" s="96">
        <v>87052</v>
      </c>
      <c r="D6" s="96">
        <v>70440</v>
      </c>
      <c r="E6" s="96">
        <v>68710</v>
      </c>
      <c r="F6" s="96">
        <v>78395</v>
      </c>
      <c r="G6" s="96">
        <v>74088</v>
      </c>
      <c r="H6" s="96">
        <v>77269</v>
      </c>
      <c r="I6" s="96">
        <v>80276</v>
      </c>
      <c r="J6" s="96">
        <v>87371</v>
      </c>
      <c r="K6" s="96">
        <v>81210</v>
      </c>
      <c r="L6" s="96">
        <v>83017</v>
      </c>
      <c r="M6" s="96">
        <v>67246</v>
      </c>
      <c r="N6" s="96">
        <v>80690</v>
      </c>
      <c r="O6" s="96">
        <v>73904</v>
      </c>
      <c r="P6" s="96">
        <v>71221</v>
      </c>
      <c r="Q6" s="96">
        <v>74678</v>
      </c>
      <c r="R6" s="96">
        <v>76086</v>
      </c>
      <c r="S6" s="96">
        <v>66342</v>
      </c>
      <c r="T6" s="96">
        <v>71129</v>
      </c>
      <c r="U6" s="96">
        <v>78393</v>
      </c>
      <c r="V6" s="96">
        <v>76846</v>
      </c>
      <c r="W6" s="96">
        <v>76570</v>
      </c>
      <c r="X6" s="96">
        <v>77941</v>
      </c>
      <c r="Y6" s="96">
        <v>70452</v>
      </c>
      <c r="Z6" s="96">
        <v>71105</v>
      </c>
      <c r="AA6" s="96">
        <v>79554</v>
      </c>
      <c r="AB6" s="96">
        <v>72469</v>
      </c>
      <c r="AC6" s="96">
        <v>82665</v>
      </c>
      <c r="AD6" s="96">
        <v>82194</v>
      </c>
      <c r="AE6" s="96">
        <v>78946</v>
      </c>
      <c r="AF6" s="96">
        <v>83508</v>
      </c>
      <c r="AG6" s="96">
        <v>85787</v>
      </c>
      <c r="AH6" s="96">
        <v>79715</v>
      </c>
      <c r="AI6" s="96">
        <v>88538</v>
      </c>
      <c r="AJ6" s="96">
        <v>76017</v>
      </c>
      <c r="AK6" s="96">
        <v>75059</v>
      </c>
    </row>
    <row r="7" spans="1:37" x14ac:dyDescent="0.35">
      <c r="A7" s="5" t="s">
        <v>62</v>
      </c>
      <c r="B7" s="5" t="s">
        <v>64</v>
      </c>
      <c r="C7" s="96">
        <v>113452</v>
      </c>
      <c r="D7" s="96">
        <v>101150</v>
      </c>
      <c r="E7" s="96">
        <v>100342</v>
      </c>
      <c r="F7" s="96">
        <v>107845</v>
      </c>
      <c r="G7" s="96">
        <v>114038</v>
      </c>
      <c r="H7" s="96">
        <v>118894</v>
      </c>
      <c r="I7" s="96">
        <v>126265</v>
      </c>
      <c r="J7" s="96">
        <v>142185</v>
      </c>
      <c r="K7" s="96">
        <v>131470</v>
      </c>
      <c r="L7" s="96">
        <v>127157</v>
      </c>
      <c r="M7" s="96">
        <v>112843</v>
      </c>
      <c r="N7" s="96">
        <v>103752</v>
      </c>
      <c r="O7" s="96">
        <v>121487</v>
      </c>
      <c r="P7" s="96">
        <v>119763</v>
      </c>
      <c r="Q7" s="96">
        <v>111897</v>
      </c>
      <c r="R7" s="96">
        <v>123151</v>
      </c>
      <c r="S7" s="96">
        <v>114468</v>
      </c>
      <c r="T7" s="96">
        <v>115690</v>
      </c>
      <c r="U7" s="96">
        <v>131745</v>
      </c>
      <c r="V7" s="96">
        <v>128725</v>
      </c>
      <c r="W7" s="96">
        <v>131989</v>
      </c>
      <c r="X7" s="96">
        <v>131034</v>
      </c>
      <c r="Y7" s="96">
        <v>122384</v>
      </c>
      <c r="Z7" s="96">
        <v>123926</v>
      </c>
      <c r="AA7" s="96">
        <v>138850</v>
      </c>
      <c r="AB7" s="96">
        <v>124003</v>
      </c>
      <c r="AC7" s="96">
        <v>125728</v>
      </c>
      <c r="AD7" s="96">
        <v>136537</v>
      </c>
      <c r="AE7" s="96">
        <v>118682</v>
      </c>
      <c r="AF7" s="96">
        <v>131452</v>
      </c>
      <c r="AG7" s="96">
        <v>139576</v>
      </c>
      <c r="AH7" s="96">
        <v>135221</v>
      </c>
      <c r="AI7" s="96">
        <v>306137</v>
      </c>
      <c r="AJ7" s="96">
        <v>148512</v>
      </c>
      <c r="AK7" s="96">
        <v>124884</v>
      </c>
    </row>
    <row r="8" spans="1:37" x14ac:dyDescent="0.35">
      <c r="A8" s="5" t="s">
        <v>62</v>
      </c>
      <c r="B8" s="5" t="s">
        <v>65</v>
      </c>
      <c r="C8" s="96">
        <v>178071</v>
      </c>
      <c r="D8" s="96">
        <v>180634</v>
      </c>
      <c r="E8" s="96">
        <v>173752</v>
      </c>
      <c r="F8" s="96">
        <v>151273</v>
      </c>
      <c r="G8" s="96">
        <v>131189</v>
      </c>
      <c r="H8" s="96">
        <v>155843</v>
      </c>
      <c r="I8" s="96">
        <v>181720</v>
      </c>
      <c r="J8" s="96">
        <v>214408</v>
      </c>
      <c r="K8" s="96">
        <v>196239</v>
      </c>
      <c r="L8" s="96">
        <v>182235</v>
      </c>
      <c r="M8" s="96">
        <v>144708</v>
      </c>
      <c r="N8" s="96">
        <v>170461</v>
      </c>
      <c r="O8" s="96">
        <v>152362</v>
      </c>
      <c r="P8" s="96">
        <v>129142</v>
      </c>
      <c r="Q8" s="96">
        <v>164067</v>
      </c>
      <c r="R8" s="96">
        <v>143997</v>
      </c>
      <c r="S8" s="96">
        <v>149850</v>
      </c>
      <c r="T8" s="96">
        <v>178405</v>
      </c>
      <c r="U8" s="96">
        <v>198286</v>
      </c>
      <c r="V8" s="96">
        <v>212283</v>
      </c>
      <c r="W8" s="96">
        <v>223293</v>
      </c>
      <c r="X8" s="96">
        <v>209667</v>
      </c>
      <c r="Y8" s="96">
        <v>184720</v>
      </c>
      <c r="Z8" s="96">
        <v>187155</v>
      </c>
      <c r="AA8" s="96">
        <v>186777</v>
      </c>
      <c r="AB8" s="96">
        <v>144463</v>
      </c>
      <c r="AC8" s="96">
        <v>199943</v>
      </c>
      <c r="AD8" s="96">
        <v>175953</v>
      </c>
      <c r="AE8" s="96">
        <v>218814</v>
      </c>
      <c r="AF8" s="96">
        <v>197037</v>
      </c>
      <c r="AG8" s="96">
        <v>208026</v>
      </c>
      <c r="AH8" s="96">
        <v>235611</v>
      </c>
      <c r="AI8" s="96">
        <v>288304</v>
      </c>
      <c r="AJ8" s="96">
        <v>203778</v>
      </c>
      <c r="AK8" s="96">
        <v>192780</v>
      </c>
    </row>
    <row r="9" spans="1:37" x14ac:dyDescent="0.35">
      <c r="A9" s="5" t="s">
        <v>62</v>
      </c>
      <c r="B9" s="12" t="s">
        <v>66</v>
      </c>
      <c r="C9" s="96">
        <v>4581521</v>
      </c>
      <c r="D9" s="96">
        <v>3843953</v>
      </c>
      <c r="E9" s="96">
        <v>3820611</v>
      </c>
      <c r="F9" s="96">
        <v>3975989</v>
      </c>
      <c r="G9" s="96">
        <v>3835253</v>
      </c>
      <c r="H9" s="96">
        <v>4104572</v>
      </c>
      <c r="I9" s="96">
        <v>4374163</v>
      </c>
      <c r="J9" s="96">
        <v>4835575</v>
      </c>
      <c r="K9" s="96">
        <v>4450016</v>
      </c>
      <c r="L9" s="96">
        <v>4562061</v>
      </c>
      <c r="M9" s="96">
        <v>3912167</v>
      </c>
      <c r="N9" s="96">
        <v>4251787</v>
      </c>
      <c r="O9" s="96">
        <v>3897613</v>
      </c>
      <c r="P9" s="96">
        <v>3823135</v>
      </c>
      <c r="Q9" s="96">
        <v>4007122</v>
      </c>
      <c r="R9" s="96">
        <v>4238569</v>
      </c>
      <c r="S9" s="96">
        <v>4080353</v>
      </c>
      <c r="T9" s="96">
        <v>4289323</v>
      </c>
      <c r="U9" s="96">
        <v>4686389</v>
      </c>
      <c r="V9" s="96">
        <v>4627704</v>
      </c>
      <c r="W9" s="96">
        <v>4597456</v>
      </c>
      <c r="X9" s="96">
        <v>4712728</v>
      </c>
      <c r="Y9" s="96">
        <v>4130495</v>
      </c>
      <c r="Z9" s="96">
        <v>4168145</v>
      </c>
      <c r="AA9" s="96">
        <v>4398754</v>
      </c>
      <c r="AB9" s="96">
        <v>3844281</v>
      </c>
      <c r="AC9" s="96">
        <v>4236949</v>
      </c>
      <c r="AD9" s="96">
        <v>4186241</v>
      </c>
      <c r="AE9" s="96">
        <v>3999119</v>
      </c>
      <c r="AF9" s="96">
        <v>4341778</v>
      </c>
      <c r="AG9" s="96">
        <v>4640217</v>
      </c>
      <c r="AH9" s="96">
        <v>4745722</v>
      </c>
      <c r="AI9" s="96">
        <v>5189920</v>
      </c>
      <c r="AJ9" s="96">
        <v>4475773</v>
      </c>
      <c r="AK9" s="96">
        <v>4126213</v>
      </c>
    </row>
    <row r="10" spans="1:37" x14ac:dyDescent="0.35">
      <c r="A10" s="5" t="s">
        <v>67</v>
      </c>
      <c r="B10" s="5" t="s">
        <v>68</v>
      </c>
      <c r="C10" s="96">
        <v>262758</v>
      </c>
      <c r="D10" s="96">
        <v>123679</v>
      </c>
      <c r="E10" s="96">
        <v>186061</v>
      </c>
      <c r="F10" s="96">
        <v>175804</v>
      </c>
      <c r="G10" s="96">
        <v>159086</v>
      </c>
      <c r="H10" s="96">
        <v>186069</v>
      </c>
      <c r="I10" s="96">
        <v>228484</v>
      </c>
      <c r="J10" s="96">
        <v>215998</v>
      </c>
      <c r="K10" s="96">
        <v>237915</v>
      </c>
      <c r="L10" s="96">
        <v>324645</v>
      </c>
      <c r="M10" s="96">
        <v>100842</v>
      </c>
      <c r="N10" s="96">
        <v>256315</v>
      </c>
      <c r="O10" s="96">
        <v>131792</v>
      </c>
      <c r="P10" s="96">
        <v>178805</v>
      </c>
      <c r="Q10" s="96">
        <v>237818</v>
      </c>
      <c r="R10" s="96">
        <v>185543</v>
      </c>
      <c r="S10" s="96">
        <v>250215</v>
      </c>
      <c r="T10" s="96">
        <v>228612</v>
      </c>
      <c r="U10" s="96">
        <v>245887</v>
      </c>
      <c r="V10" s="96">
        <v>300932</v>
      </c>
      <c r="W10" s="96">
        <v>782973</v>
      </c>
      <c r="X10" s="96">
        <v>301926</v>
      </c>
      <c r="Y10" s="96">
        <v>278509</v>
      </c>
      <c r="Z10" s="96">
        <v>239268</v>
      </c>
      <c r="AA10" s="96">
        <v>281654</v>
      </c>
      <c r="AB10" s="96">
        <v>223212</v>
      </c>
      <c r="AC10" s="96">
        <v>235250</v>
      </c>
      <c r="AD10" s="96">
        <v>225731</v>
      </c>
      <c r="AE10" s="96">
        <v>235470</v>
      </c>
      <c r="AF10" s="96">
        <v>221362</v>
      </c>
      <c r="AG10" s="96">
        <v>231988</v>
      </c>
      <c r="AH10" s="96">
        <v>238407</v>
      </c>
      <c r="AI10" s="96">
        <v>299410</v>
      </c>
      <c r="AJ10" s="96">
        <v>295833</v>
      </c>
      <c r="AK10" s="96">
        <v>237840</v>
      </c>
    </row>
    <row r="12" spans="1:37" x14ac:dyDescent="0.35">
      <c r="A12" s="159" t="s">
        <v>69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ht="72.5" x14ac:dyDescent="0.35">
      <c r="A13" s="78" t="s">
        <v>58</v>
      </c>
      <c r="C13" s="84" t="str">
        <f t="shared" ref="C13:D13" si="21">C4</f>
        <v>January 2020 Water Billed Volume (CCF)</v>
      </c>
      <c r="D13" s="84" t="str">
        <f t="shared" si="21"/>
        <v>February 2020 Water Billed Volume (CCF)</v>
      </c>
      <c r="E13" s="84" t="str">
        <f>E4</f>
        <v>March 2020 Water Billed Volume (CCF)</v>
      </c>
      <c r="F13" s="84" t="str">
        <f t="shared" ref="F13:T13" si="22">F4</f>
        <v>April 2020 Water Billed Volume (CCF)</v>
      </c>
      <c r="G13" s="84" t="str">
        <f t="shared" si="22"/>
        <v>May 2020 Water Billed Volume (CCF)</v>
      </c>
      <c r="H13" s="84" t="str">
        <f t="shared" si="22"/>
        <v>June 2020 Water Billed Volume (CCF)</v>
      </c>
      <c r="I13" s="84" t="str">
        <f t="shared" si="22"/>
        <v>July 2020 Water Billed Volume (CCF)</v>
      </c>
      <c r="J13" s="84" t="str">
        <f t="shared" si="22"/>
        <v>August 2020 Water Billed Volume (CCF)</v>
      </c>
      <c r="K13" s="84" t="str">
        <f t="shared" si="22"/>
        <v>September 2020 Water Billed Volume (CCF)</v>
      </c>
      <c r="L13" s="84" t="str">
        <f t="shared" si="22"/>
        <v>October 2020 Water Billed Volume (CCF)</v>
      </c>
      <c r="M13" s="84" t="str">
        <f t="shared" si="22"/>
        <v>November 2020 Water Billed Volume (CCF)</v>
      </c>
      <c r="N13" s="84" t="str">
        <f t="shared" si="22"/>
        <v>December 2020 Water Billed Volume (CCF)</v>
      </c>
      <c r="O13" s="84" t="str">
        <f t="shared" si="22"/>
        <v>January 2021 Water Billed Volume (CCF)</v>
      </c>
      <c r="P13" s="84" t="str">
        <f t="shared" si="22"/>
        <v>February 2021 Water Billed Volume (CCF)</v>
      </c>
      <c r="Q13" s="84" t="str">
        <f t="shared" si="22"/>
        <v>March 2021 Water Billed Volume (CCF)</v>
      </c>
      <c r="R13" s="84" t="str">
        <f t="shared" si="22"/>
        <v>April 2021 Water Billed Volume (CCF)</v>
      </c>
      <c r="S13" s="84" t="str">
        <f t="shared" si="22"/>
        <v>May 2021 Water Billed Volume (CCF)</v>
      </c>
      <c r="T13" s="84" t="str">
        <f t="shared" si="22"/>
        <v>June 2021 Water Billed Volume (CCF)</v>
      </c>
      <c r="U13" s="84" t="str">
        <f t="shared" ref="U13:Z13" si="23">U4</f>
        <v>July 2021 Water Billed Volume (CCF)</v>
      </c>
      <c r="V13" s="84" t="str">
        <f t="shared" si="23"/>
        <v>August 2021 Water Billed Volume (CCF)</v>
      </c>
      <c r="W13" s="84" t="str">
        <f t="shared" si="23"/>
        <v>September 2021 Water Billed Volume (CCF)</v>
      </c>
      <c r="X13" s="84" t="str">
        <f t="shared" si="23"/>
        <v>October 2021 Water Billed Volume (CCF)</v>
      </c>
      <c r="Y13" s="84" t="str">
        <f t="shared" si="23"/>
        <v>November 2021 Water Billed Volume (CCF)</v>
      </c>
      <c r="Z13" s="84" t="str">
        <f t="shared" si="23"/>
        <v>December 2021 Water Billed Volume (CCF)</v>
      </c>
      <c r="AA13" s="84" t="str">
        <f t="shared" ref="AA13:AD13" si="24">AA4</f>
        <v>January 2022 Water Billed Volume (CCF)</v>
      </c>
      <c r="AB13" s="84" t="str">
        <f t="shared" si="24"/>
        <v>February 2022 Water Billed Volume (CCF)</v>
      </c>
      <c r="AC13" s="84" t="str">
        <f t="shared" si="24"/>
        <v>March 2022 Water Billed Volume (CCF)</v>
      </c>
      <c r="AD13" s="84" t="str">
        <f t="shared" si="24"/>
        <v>April 2022 Water Billed Volume (CCF)</v>
      </c>
      <c r="AE13" s="84" t="str">
        <f t="shared" ref="AE13:AF13" si="25">AE4</f>
        <v>May 2022 Water Billed Volume (CCF)</v>
      </c>
      <c r="AF13" s="84" t="str">
        <f t="shared" si="25"/>
        <v>June 2022 Water Billed Volume (CCF)</v>
      </c>
      <c r="AG13" s="84" t="str">
        <f t="shared" ref="AG13:AK13" si="26">AG4</f>
        <v>July 2022 Water Billed Volume (CCF)</v>
      </c>
      <c r="AH13" s="84" t="str">
        <f t="shared" si="26"/>
        <v>August 2022 Water Billed Volume (CCF)</v>
      </c>
      <c r="AI13" s="84" t="str">
        <f t="shared" si="26"/>
        <v>September 2022 Water Billed Volume (CCF)</v>
      </c>
      <c r="AJ13" s="84" t="str">
        <f t="shared" si="26"/>
        <v>October 2022 Water Billed Volume (CCF)</v>
      </c>
      <c r="AK13" s="84" t="str">
        <f t="shared" si="26"/>
        <v>November 2022 Water Billed Volume (CCF)</v>
      </c>
    </row>
    <row r="14" spans="1:37" x14ac:dyDescent="0.35">
      <c r="A14" s="5" t="s">
        <v>60</v>
      </c>
      <c r="C14" s="14">
        <f>SUMIF($A$5:$A$10,$A14,C$5:C$10)</f>
        <v>126227</v>
      </c>
      <c r="D14" s="14">
        <f t="shared" ref="C14:U16" si="27">SUMIF($A$5:$A$10,$A14,D$5:D$10)</f>
        <v>100664</v>
      </c>
      <c r="E14" s="14">
        <f t="shared" si="27"/>
        <v>98711</v>
      </c>
      <c r="F14" s="14">
        <f t="shared" si="27"/>
        <v>114333</v>
      </c>
      <c r="G14" s="14">
        <f t="shared" si="27"/>
        <v>115499</v>
      </c>
      <c r="H14" s="14">
        <f t="shared" si="27"/>
        <v>119948</v>
      </c>
      <c r="I14" s="14">
        <f t="shared" si="27"/>
        <v>124826</v>
      </c>
      <c r="J14" s="14">
        <f t="shared" si="27"/>
        <v>138711</v>
      </c>
      <c r="K14" s="14">
        <f t="shared" si="27"/>
        <v>126671</v>
      </c>
      <c r="L14" s="14">
        <f t="shared" si="27"/>
        <v>127702</v>
      </c>
      <c r="M14" s="14">
        <f t="shared" si="27"/>
        <v>102629</v>
      </c>
      <c r="N14" s="14">
        <f t="shared" si="27"/>
        <v>148848</v>
      </c>
      <c r="O14" s="14">
        <f t="shared" si="27"/>
        <v>118605</v>
      </c>
      <c r="P14" s="14">
        <f t="shared" si="27"/>
        <v>116789</v>
      </c>
      <c r="Q14" s="14">
        <f t="shared" si="27"/>
        <v>119356</v>
      </c>
      <c r="R14" s="14">
        <f t="shared" si="27"/>
        <v>128084</v>
      </c>
      <c r="S14" s="14">
        <f t="shared" si="27"/>
        <v>111503</v>
      </c>
      <c r="T14" s="14">
        <f t="shared" si="27"/>
        <v>117338</v>
      </c>
      <c r="U14" s="14">
        <f t="shared" si="27"/>
        <v>130283</v>
      </c>
      <c r="V14" s="14">
        <f t="shared" ref="U14:AJ16" si="28">SUMIF($A$5:$A$10,$A14,V$5:V$10)</f>
        <v>127131</v>
      </c>
      <c r="W14" s="14">
        <f t="shared" si="28"/>
        <v>127121</v>
      </c>
      <c r="X14" s="14">
        <f t="shared" si="28"/>
        <v>137123</v>
      </c>
      <c r="Y14" s="14">
        <f t="shared" si="28"/>
        <v>122153</v>
      </c>
      <c r="Z14" s="14">
        <f t="shared" si="28"/>
        <v>120500</v>
      </c>
      <c r="AA14" s="14">
        <f t="shared" si="28"/>
        <v>115589</v>
      </c>
      <c r="AB14" s="14">
        <f t="shared" si="28"/>
        <v>92454</v>
      </c>
      <c r="AC14" s="14">
        <f t="shared" si="28"/>
        <v>91051</v>
      </c>
      <c r="AD14" s="14">
        <f t="shared" si="28"/>
        <v>74605</v>
      </c>
      <c r="AE14" s="14">
        <f t="shared" si="28"/>
        <v>70157</v>
      </c>
      <c r="AF14" s="14">
        <f t="shared" si="28"/>
        <v>72630</v>
      </c>
      <c r="AG14" s="14">
        <f t="shared" si="28"/>
        <v>81622</v>
      </c>
      <c r="AH14" s="14">
        <f t="shared" si="28"/>
        <v>88479</v>
      </c>
      <c r="AI14" s="14">
        <f t="shared" si="28"/>
        <v>111525</v>
      </c>
      <c r="AJ14" s="14">
        <f t="shared" si="28"/>
        <v>104033</v>
      </c>
      <c r="AK14" s="14">
        <f t="shared" ref="AG14:AK16" si="29">SUMIF($A$5:$A$10,$A14,AK$5:AK$10)</f>
        <v>100995</v>
      </c>
    </row>
    <row r="15" spans="1:37" x14ac:dyDescent="0.35">
      <c r="A15" s="5" t="s">
        <v>62</v>
      </c>
      <c r="C15" s="14">
        <f t="shared" si="27"/>
        <v>4960096</v>
      </c>
      <c r="D15" s="14">
        <f t="shared" si="27"/>
        <v>4196177</v>
      </c>
      <c r="E15" s="14">
        <f>SUMIF($A$5:$A$10,$A15,E$5:E$10)</f>
        <v>4163415</v>
      </c>
      <c r="F15" s="14">
        <f t="shared" si="27"/>
        <v>4313502</v>
      </c>
      <c r="G15" s="14">
        <f t="shared" si="27"/>
        <v>4154568</v>
      </c>
      <c r="H15" s="14">
        <f t="shared" si="27"/>
        <v>4456578</v>
      </c>
      <c r="I15" s="14">
        <f t="shared" si="27"/>
        <v>4762424</v>
      </c>
      <c r="J15" s="14">
        <f t="shared" si="27"/>
        <v>5279539</v>
      </c>
      <c r="K15" s="14">
        <f t="shared" si="27"/>
        <v>4858935</v>
      </c>
      <c r="L15" s="14">
        <f t="shared" si="27"/>
        <v>4954470</v>
      </c>
      <c r="M15" s="14">
        <f t="shared" si="27"/>
        <v>4236964</v>
      </c>
      <c r="N15" s="14">
        <f t="shared" si="27"/>
        <v>4606690</v>
      </c>
      <c r="O15" s="14">
        <f t="shared" si="27"/>
        <v>4245366</v>
      </c>
      <c r="P15" s="14">
        <f t="shared" si="27"/>
        <v>4143261</v>
      </c>
      <c r="Q15" s="14">
        <f t="shared" si="27"/>
        <v>4357764</v>
      </c>
      <c r="R15" s="14">
        <f t="shared" si="27"/>
        <v>4581803</v>
      </c>
      <c r="S15" s="14">
        <f t="shared" si="27"/>
        <v>4411013</v>
      </c>
      <c r="T15" s="14">
        <f t="shared" si="27"/>
        <v>4654547</v>
      </c>
      <c r="U15" s="14">
        <f t="shared" si="28"/>
        <v>5094813</v>
      </c>
      <c r="V15" s="14">
        <f t="shared" si="28"/>
        <v>5045558</v>
      </c>
      <c r="W15" s="14">
        <f t="shared" si="28"/>
        <v>5029308</v>
      </c>
      <c r="X15" s="14">
        <f t="shared" si="28"/>
        <v>5131370</v>
      </c>
      <c r="Y15" s="14">
        <f t="shared" si="28"/>
        <v>4508051</v>
      </c>
      <c r="Z15" s="14">
        <f t="shared" si="28"/>
        <v>4550331</v>
      </c>
      <c r="AA15" s="14">
        <f t="shared" si="28"/>
        <v>4803935</v>
      </c>
      <c r="AB15" s="14">
        <f t="shared" si="28"/>
        <v>4185216</v>
      </c>
      <c r="AC15" s="14">
        <f t="shared" si="28"/>
        <v>4645285</v>
      </c>
      <c r="AD15" s="14">
        <f t="shared" si="28"/>
        <v>4580925</v>
      </c>
      <c r="AE15" s="14">
        <f t="shared" si="28"/>
        <v>4415561</v>
      </c>
      <c r="AF15" s="14">
        <f t="shared" si="28"/>
        <v>4753775</v>
      </c>
      <c r="AG15" s="14">
        <f t="shared" si="29"/>
        <v>5073606</v>
      </c>
      <c r="AH15" s="14">
        <f t="shared" si="29"/>
        <v>5196269</v>
      </c>
      <c r="AI15" s="14">
        <f t="shared" si="29"/>
        <v>5872899</v>
      </c>
      <c r="AJ15" s="14">
        <f t="shared" si="29"/>
        <v>4904080</v>
      </c>
      <c r="AK15" s="14">
        <f t="shared" si="29"/>
        <v>4518936</v>
      </c>
    </row>
    <row r="16" spans="1:37" x14ac:dyDescent="0.35">
      <c r="A16" s="5" t="s">
        <v>67</v>
      </c>
      <c r="C16" s="14">
        <f t="shared" si="27"/>
        <v>262758</v>
      </c>
      <c r="D16" s="14">
        <f t="shared" si="27"/>
        <v>123679</v>
      </c>
      <c r="E16" s="14">
        <f t="shared" si="27"/>
        <v>186061</v>
      </c>
      <c r="F16" s="14">
        <f t="shared" si="27"/>
        <v>175804</v>
      </c>
      <c r="G16" s="14">
        <f t="shared" si="27"/>
        <v>159086</v>
      </c>
      <c r="H16" s="14">
        <f t="shared" si="27"/>
        <v>186069</v>
      </c>
      <c r="I16" s="14">
        <f t="shared" si="27"/>
        <v>228484</v>
      </c>
      <c r="J16" s="14">
        <f t="shared" si="27"/>
        <v>215998</v>
      </c>
      <c r="K16" s="14">
        <f t="shared" si="27"/>
        <v>237915</v>
      </c>
      <c r="L16" s="14">
        <f t="shared" si="27"/>
        <v>324645</v>
      </c>
      <c r="M16" s="14">
        <f t="shared" si="27"/>
        <v>100842</v>
      </c>
      <c r="N16" s="14">
        <f t="shared" si="27"/>
        <v>256315</v>
      </c>
      <c r="O16" s="14">
        <f t="shared" si="27"/>
        <v>131792</v>
      </c>
      <c r="P16" s="14">
        <f t="shared" si="27"/>
        <v>178805</v>
      </c>
      <c r="Q16" s="14">
        <f t="shared" si="27"/>
        <v>237818</v>
      </c>
      <c r="R16" s="14">
        <f t="shared" si="27"/>
        <v>185543</v>
      </c>
      <c r="S16" s="14">
        <f t="shared" si="27"/>
        <v>250215</v>
      </c>
      <c r="T16" s="14">
        <f t="shared" si="27"/>
        <v>228612</v>
      </c>
      <c r="U16" s="14">
        <f t="shared" si="28"/>
        <v>245887</v>
      </c>
      <c r="V16" s="14">
        <f t="shared" si="28"/>
        <v>300932</v>
      </c>
      <c r="W16" s="14">
        <f t="shared" si="28"/>
        <v>782973</v>
      </c>
      <c r="X16" s="14">
        <f t="shared" si="28"/>
        <v>301926</v>
      </c>
      <c r="Y16" s="14">
        <f t="shared" si="28"/>
        <v>278509</v>
      </c>
      <c r="Z16" s="14">
        <f t="shared" si="28"/>
        <v>239268</v>
      </c>
      <c r="AA16" s="14">
        <f t="shared" si="28"/>
        <v>281654</v>
      </c>
      <c r="AB16" s="14">
        <f t="shared" si="28"/>
        <v>223212</v>
      </c>
      <c r="AC16" s="14">
        <f t="shared" si="28"/>
        <v>235250</v>
      </c>
      <c r="AD16" s="14">
        <f t="shared" si="28"/>
        <v>225731</v>
      </c>
      <c r="AE16" s="14">
        <f t="shared" si="28"/>
        <v>235470</v>
      </c>
      <c r="AF16" s="14">
        <f t="shared" si="28"/>
        <v>221362</v>
      </c>
      <c r="AG16" s="14">
        <f t="shared" si="29"/>
        <v>231988</v>
      </c>
      <c r="AH16" s="14">
        <f t="shared" si="29"/>
        <v>238407</v>
      </c>
      <c r="AI16" s="14">
        <f t="shared" si="29"/>
        <v>299410</v>
      </c>
      <c r="AJ16" s="14">
        <f t="shared" si="29"/>
        <v>295833</v>
      </c>
      <c r="AK16" s="14">
        <f t="shared" si="29"/>
        <v>237840</v>
      </c>
    </row>
    <row r="18" spans="1:15" x14ac:dyDescent="0.35">
      <c r="A18" s="4"/>
    </row>
    <row r="19" spans="1:15" x14ac:dyDescent="0.35">
      <c r="C19" t="s">
        <v>70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x14ac:dyDescent="0.35">
      <c r="C20" t="s">
        <v>71</v>
      </c>
      <c r="E20" s="77"/>
    </row>
    <row r="21" spans="1:15" x14ac:dyDescent="0.35">
      <c r="C21" t="s">
        <v>72</v>
      </c>
    </row>
  </sheetData>
  <mergeCells count="2">
    <mergeCell ref="A12:T12"/>
    <mergeCell ref="A1:T1"/>
  </mergeCells>
  <pageMargins left="0.7" right="0.7" top="0.75" bottom="0.75" header="0.3" footer="0.3"/>
  <pageSetup orientation="landscape" r:id="rId1"/>
  <headerFooter>
    <oddHeader xml:space="preserve">&amp;L2023 TAP Reconcilable Rider Reports and Projection Model: &amp;A
January 2022 - November 2022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K21"/>
  <sheetViews>
    <sheetView showGridLines="0" zoomScale="80" zoomScaleNormal="80" zoomScaleSheetLayoutView="80" zoomScalePageLayoutView="80" workbookViewId="0">
      <selection activeCell="D9" sqref="D9"/>
    </sheetView>
  </sheetViews>
  <sheetFormatPr defaultColWidth="8.90625" defaultRowHeight="14.5" x14ac:dyDescent="0.35"/>
  <cols>
    <col min="1" max="1" width="28.54296875" bestFit="1" customWidth="1"/>
    <col min="2" max="2" width="30" customWidth="1"/>
    <col min="3" max="25" width="11.6328125" customWidth="1"/>
    <col min="26" max="37" width="11.453125" customWidth="1"/>
  </cols>
  <sheetData>
    <row r="1" spans="1:37" x14ac:dyDescent="0.35">
      <c r="A1" s="161" t="str">
        <f>"DR-2: Sewer Billed Volume"</f>
        <v>DR-2: Sewer Billed Volume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x14ac:dyDescent="0.35">
      <c r="A2" s="85"/>
      <c r="B2" s="86"/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2020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v>2021</v>
      </c>
      <c r="Z2" s="86">
        <f>IF(Z3=1,Y2+1,Y2)</f>
        <v>2021</v>
      </c>
      <c r="AA2" s="86">
        <f t="shared" ref="AA2:AF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si="0"/>
        <v>2022</v>
      </c>
      <c r="AG2" s="86">
        <f t="shared" ref="AG2" si="1">IF(AG3=1,AF2+1,AF2)</f>
        <v>2022</v>
      </c>
      <c r="AH2" s="86">
        <f t="shared" ref="AH2" si="2">IF(AH3=1,AG2+1,AG2)</f>
        <v>2022</v>
      </c>
      <c r="AI2" s="86">
        <f t="shared" ref="AI2" si="3">IF(AI3=1,AH2+1,AH2)</f>
        <v>2022</v>
      </c>
      <c r="AJ2" s="86">
        <f t="shared" ref="AJ2" si="4">IF(AJ3=1,AI2+1,AI2)</f>
        <v>2022</v>
      </c>
      <c r="AK2" s="86">
        <f t="shared" ref="AK2" si="5">IF(AK3=1,AJ2+1,AJ2)</f>
        <v>2022</v>
      </c>
    </row>
    <row r="3" spans="1:37" x14ac:dyDescent="0.35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v>12</v>
      </c>
      <c r="O3" s="86">
        <v>1</v>
      </c>
      <c r="P3" s="86">
        <v>2</v>
      </c>
      <c r="Q3" s="86">
        <v>3</v>
      </c>
      <c r="R3" s="86">
        <v>4</v>
      </c>
      <c r="S3" s="86">
        <v>5</v>
      </c>
      <c r="T3" s="86">
        <v>6</v>
      </c>
      <c r="U3" s="86">
        <v>7</v>
      </c>
      <c r="V3" s="86">
        <v>8</v>
      </c>
      <c r="W3" s="86">
        <v>9</v>
      </c>
      <c r="X3" s="86">
        <v>10</v>
      </c>
      <c r="Y3" s="86">
        <v>11</v>
      </c>
      <c r="Z3" s="86">
        <f>IF(Y3&lt;12,Y3+1,1)</f>
        <v>12</v>
      </c>
      <c r="AA3" s="86">
        <f t="shared" ref="AA3:AF3" si="6">IF(Z3&lt;12,Z3+1,1)</f>
        <v>1</v>
      </c>
      <c r="AB3" s="86">
        <f t="shared" si="6"/>
        <v>2</v>
      </c>
      <c r="AC3" s="86">
        <f t="shared" si="6"/>
        <v>3</v>
      </c>
      <c r="AD3" s="86">
        <f t="shared" si="6"/>
        <v>4</v>
      </c>
      <c r="AE3" s="86">
        <f t="shared" si="6"/>
        <v>5</v>
      </c>
      <c r="AF3" s="86">
        <f t="shared" si="6"/>
        <v>6</v>
      </c>
      <c r="AG3" s="86">
        <f t="shared" ref="AG3" si="7">IF(AF3&lt;12,AF3+1,1)</f>
        <v>7</v>
      </c>
      <c r="AH3" s="86">
        <f t="shared" ref="AH3" si="8">IF(AG3&lt;12,AG3+1,1)</f>
        <v>8</v>
      </c>
      <c r="AI3" s="86">
        <f t="shared" ref="AI3" si="9">IF(AH3&lt;12,AH3+1,1)</f>
        <v>9</v>
      </c>
      <c r="AJ3" s="86">
        <f t="shared" ref="AJ3" si="10">IF(AI3&lt;12,AI3+1,1)</f>
        <v>10</v>
      </c>
      <c r="AK3" s="86">
        <f t="shared" ref="AK3" si="11">IF(AJ3&lt;12,AJ3+1,1)</f>
        <v>11</v>
      </c>
    </row>
    <row r="4" spans="1:37" ht="71.75" customHeight="1" x14ac:dyDescent="0.35">
      <c r="A4" s="75" t="s">
        <v>58</v>
      </c>
      <c r="B4" s="76" t="s">
        <v>59</v>
      </c>
      <c r="C4" s="84" t="str">
        <f>TEXT(C3*29, "Mmmm")&amp;" "&amp;C2&amp;" Sewer Billed Volume (CCF)"</f>
        <v>January 2020 Sewer Billed Volume (CCF)</v>
      </c>
      <c r="D4" s="84" t="str">
        <f t="shared" ref="D4:R4" si="12">TEXT(D3*29, "Mmmm")&amp;" "&amp;D2&amp;" Sewer Billed Volume (CCF)"</f>
        <v>February 2020 Sewer Billed Volume (CCF)</v>
      </c>
      <c r="E4" s="84" t="str">
        <f t="shared" si="12"/>
        <v>March 2020 Sewer Billed Volume (CCF)</v>
      </c>
      <c r="F4" s="84" t="str">
        <f t="shared" si="12"/>
        <v>April 2020 Sewer Billed Volume (CCF)</v>
      </c>
      <c r="G4" s="84" t="str">
        <f t="shared" si="12"/>
        <v>May 2020 Sewer Billed Volume (CCF)</v>
      </c>
      <c r="H4" s="84" t="str">
        <f t="shared" si="12"/>
        <v>June 2020 Sewer Billed Volume (CCF)</v>
      </c>
      <c r="I4" s="84" t="str">
        <f t="shared" si="12"/>
        <v>July 2020 Sewer Billed Volume (CCF)</v>
      </c>
      <c r="J4" s="84" t="str">
        <f t="shared" si="12"/>
        <v>August 2020 Sewer Billed Volume (CCF)</v>
      </c>
      <c r="K4" s="84" t="str">
        <f t="shared" si="12"/>
        <v>September 2020 Sewer Billed Volume (CCF)</v>
      </c>
      <c r="L4" s="84" t="str">
        <f t="shared" si="12"/>
        <v>October 2020 Sewer Billed Volume (CCF)</v>
      </c>
      <c r="M4" s="84" t="str">
        <f t="shared" si="12"/>
        <v>November 2020 Sewer Billed Volume (CCF)</v>
      </c>
      <c r="N4" s="84" t="str">
        <f t="shared" si="12"/>
        <v>December 2020 Sewer Billed Volume (CCF)</v>
      </c>
      <c r="O4" s="84" t="str">
        <f t="shared" si="12"/>
        <v>January 2021 Sewer Billed Volume (CCF)</v>
      </c>
      <c r="P4" s="84" t="str">
        <f t="shared" si="12"/>
        <v>February 2021 Sewer Billed Volume (CCF)</v>
      </c>
      <c r="Q4" s="84" t="str">
        <f t="shared" si="12"/>
        <v>March 2021 Sewer Billed Volume (CCF)</v>
      </c>
      <c r="R4" s="84" t="str">
        <f t="shared" si="12"/>
        <v>April 2021 Sewer Billed Volume (CCF)</v>
      </c>
      <c r="S4" s="84" t="str">
        <f t="shared" ref="S4:W4" si="13">TEXT(S3*29, "Mmmm")&amp;" "&amp;S2&amp;" Sewer Billed Volume (CCF)"</f>
        <v>May 2021 Sewer Billed Volume (CCF)</v>
      </c>
      <c r="T4" s="84" t="str">
        <f t="shared" si="13"/>
        <v>June 2021 Sewer Billed Volume (CCF)</v>
      </c>
      <c r="U4" s="84" t="str">
        <f t="shared" si="13"/>
        <v>July 2021 Sewer Billed Volume (CCF)</v>
      </c>
      <c r="V4" s="84" t="str">
        <f t="shared" si="13"/>
        <v>August 2021 Sewer Billed Volume (CCF)</v>
      </c>
      <c r="W4" s="84" t="str">
        <f t="shared" si="13"/>
        <v>September 2021 Sewer Billed Volume (CCF)</v>
      </c>
      <c r="X4" s="84" t="str">
        <f t="shared" ref="X4:AF4" si="14">TEXT(X3*29, "Mmmm")&amp;" "&amp;X2&amp;" Sewer Billed Volume (CCF)"</f>
        <v>October 2021 Sewer Billed Volume (CCF)</v>
      </c>
      <c r="Y4" s="84" t="str">
        <f t="shared" si="14"/>
        <v>November 2021 Sewer Billed Volume (CCF)</v>
      </c>
      <c r="Z4" s="84" t="str">
        <f t="shared" si="14"/>
        <v>December 2021 Sewer Billed Volume (CCF)</v>
      </c>
      <c r="AA4" s="84" t="str">
        <f t="shared" si="14"/>
        <v>January 2022 Sewer Billed Volume (CCF)</v>
      </c>
      <c r="AB4" s="84" t="str">
        <f t="shared" si="14"/>
        <v>February 2022 Sewer Billed Volume (CCF)</v>
      </c>
      <c r="AC4" s="84" t="str">
        <f t="shared" si="14"/>
        <v>March 2022 Sewer Billed Volume (CCF)</v>
      </c>
      <c r="AD4" s="84" t="str">
        <f t="shared" si="14"/>
        <v>April 2022 Sewer Billed Volume (CCF)</v>
      </c>
      <c r="AE4" s="84" t="str">
        <f t="shared" si="14"/>
        <v>May 2022 Sewer Billed Volume (CCF)</v>
      </c>
      <c r="AF4" s="84" t="str">
        <f t="shared" si="14"/>
        <v>June 2022 Sewer Billed Volume (CCF)</v>
      </c>
      <c r="AG4" s="84" t="str">
        <f t="shared" ref="AG4:AK4" si="15">TEXT(AG3*29, "Mmmm")&amp;" "&amp;AG2&amp;" Sewer Billed Volume (CCF)"</f>
        <v>July 2022 Sewer Billed Volume (CCF)</v>
      </c>
      <c r="AH4" s="84" t="str">
        <f t="shared" si="15"/>
        <v>August 2022 Sewer Billed Volume (CCF)</v>
      </c>
      <c r="AI4" s="84" t="str">
        <f t="shared" si="15"/>
        <v>September 2022 Sewer Billed Volume (CCF)</v>
      </c>
      <c r="AJ4" s="84" t="str">
        <f t="shared" si="15"/>
        <v>October 2022 Sewer Billed Volume (CCF)</v>
      </c>
      <c r="AK4" s="84" t="str">
        <f t="shared" si="15"/>
        <v>November 2022 Sewer Billed Volume (CCF)</v>
      </c>
    </row>
    <row r="5" spans="1:37" x14ac:dyDescent="0.35">
      <c r="A5" s="5" t="s">
        <v>60</v>
      </c>
      <c r="B5" s="83" t="s">
        <v>61</v>
      </c>
      <c r="C5" s="96">
        <v>126186</v>
      </c>
      <c r="D5" s="96">
        <v>100627</v>
      </c>
      <c r="E5" s="96">
        <v>98673</v>
      </c>
      <c r="F5" s="96">
        <v>114281</v>
      </c>
      <c r="G5" s="96">
        <v>115439</v>
      </c>
      <c r="H5" s="96">
        <v>119893</v>
      </c>
      <c r="I5" s="96">
        <v>124756</v>
      </c>
      <c r="J5" s="96">
        <v>138661</v>
      </c>
      <c r="K5" s="96">
        <v>126622</v>
      </c>
      <c r="L5" s="96">
        <v>127654</v>
      </c>
      <c r="M5" s="96">
        <v>102582</v>
      </c>
      <c r="N5" s="96">
        <v>148800</v>
      </c>
      <c r="O5" s="96">
        <v>118551</v>
      </c>
      <c r="P5" s="96">
        <v>116742</v>
      </c>
      <c r="Q5" s="96">
        <v>119308</v>
      </c>
      <c r="R5" s="96">
        <v>128045</v>
      </c>
      <c r="S5" s="96">
        <v>111458</v>
      </c>
      <c r="T5" s="96">
        <v>117299</v>
      </c>
      <c r="U5" s="96">
        <v>130231</v>
      </c>
      <c r="V5" s="96">
        <v>127096</v>
      </c>
      <c r="W5" s="96">
        <v>127094</v>
      </c>
      <c r="X5" s="96">
        <v>137087</v>
      </c>
      <c r="Y5" s="96">
        <v>122124</v>
      </c>
      <c r="Z5" s="96">
        <v>120476</v>
      </c>
      <c r="AA5" s="96">
        <v>115578</v>
      </c>
      <c r="AB5" s="96">
        <v>92445</v>
      </c>
      <c r="AC5" s="96">
        <v>91038</v>
      </c>
      <c r="AD5" s="96">
        <v>74596</v>
      </c>
      <c r="AE5" s="96">
        <v>70157</v>
      </c>
      <c r="AF5" s="96">
        <v>72629</v>
      </c>
      <c r="AG5" s="96">
        <v>81615</v>
      </c>
      <c r="AH5" s="96">
        <v>88467</v>
      </c>
      <c r="AI5" s="96">
        <v>111515</v>
      </c>
      <c r="AJ5" s="96">
        <v>104026</v>
      </c>
      <c r="AK5" s="96">
        <v>100983</v>
      </c>
    </row>
    <row r="6" spans="1:37" x14ac:dyDescent="0.35">
      <c r="A6" s="5" t="s">
        <v>62</v>
      </c>
      <c r="B6" s="5" t="s">
        <v>63</v>
      </c>
      <c r="C6" s="96">
        <v>86978</v>
      </c>
      <c r="D6" s="96">
        <v>70364</v>
      </c>
      <c r="E6" s="96">
        <v>68635</v>
      </c>
      <c r="F6" s="96">
        <v>78306</v>
      </c>
      <c r="G6" s="96">
        <v>74015</v>
      </c>
      <c r="H6" s="96">
        <v>77180</v>
      </c>
      <c r="I6" s="96">
        <v>80185</v>
      </c>
      <c r="J6" s="96">
        <v>87282</v>
      </c>
      <c r="K6" s="96">
        <v>81103</v>
      </c>
      <c r="L6" s="96">
        <v>82908</v>
      </c>
      <c r="M6" s="96">
        <v>67149</v>
      </c>
      <c r="N6" s="96">
        <v>80591</v>
      </c>
      <c r="O6" s="96">
        <v>73796</v>
      </c>
      <c r="P6" s="96">
        <v>71133</v>
      </c>
      <c r="Q6" s="96">
        <v>74591</v>
      </c>
      <c r="R6" s="96">
        <v>75989</v>
      </c>
      <c r="S6" s="96">
        <v>66261</v>
      </c>
      <c r="T6" s="96">
        <v>71036</v>
      </c>
      <c r="U6" s="96">
        <v>78326</v>
      </c>
      <c r="V6" s="96">
        <v>76767</v>
      </c>
      <c r="W6" s="96">
        <v>76497</v>
      </c>
      <c r="X6" s="96">
        <v>77855</v>
      </c>
      <c r="Y6" s="96">
        <v>70394</v>
      </c>
      <c r="Z6" s="96">
        <v>71040</v>
      </c>
      <c r="AA6" s="96">
        <v>79472</v>
      </c>
      <c r="AB6" s="96">
        <v>72383</v>
      </c>
      <c r="AC6" s="96">
        <v>82573</v>
      </c>
      <c r="AD6" s="96">
        <v>82098</v>
      </c>
      <c r="AE6" s="96">
        <v>78856</v>
      </c>
      <c r="AF6" s="96">
        <v>83401</v>
      </c>
      <c r="AG6" s="96">
        <v>85687</v>
      </c>
      <c r="AH6" s="96">
        <v>79623</v>
      </c>
      <c r="AI6" s="96">
        <v>88451</v>
      </c>
      <c r="AJ6" s="96">
        <v>75923</v>
      </c>
      <c r="AK6" s="96">
        <v>74966</v>
      </c>
    </row>
    <row r="7" spans="1:37" x14ac:dyDescent="0.35">
      <c r="A7" s="5" t="s">
        <v>62</v>
      </c>
      <c r="B7" s="5" t="s">
        <v>64</v>
      </c>
      <c r="C7" s="96">
        <v>113452</v>
      </c>
      <c r="D7" s="96">
        <v>101150</v>
      </c>
      <c r="E7" s="96">
        <v>100342</v>
      </c>
      <c r="F7" s="96">
        <v>107844</v>
      </c>
      <c r="G7" s="96">
        <v>114038</v>
      </c>
      <c r="H7" s="96">
        <v>118894</v>
      </c>
      <c r="I7" s="96">
        <v>126230</v>
      </c>
      <c r="J7" s="96">
        <v>142043</v>
      </c>
      <c r="K7" s="96">
        <v>131381</v>
      </c>
      <c r="L7" s="96">
        <v>127120</v>
      </c>
      <c r="M7" s="96">
        <v>112843</v>
      </c>
      <c r="N7" s="96">
        <v>103752</v>
      </c>
      <c r="O7" s="96">
        <v>121487</v>
      </c>
      <c r="P7" s="96">
        <v>119763</v>
      </c>
      <c r="Q7" s="96">
        <v>111897</v>
      </c>
      <c r="R7" s="96">
        <v>123151</v>
      </c>
      <c r="S7" s="96">
        <v>114468</v>
      </c>
      <c r="T7" s="96">
        <v>115579</v>
      </c>
      <c r="U7" s="96">
        <v>131615</v>
      </c>
      <c r="V7" s="96">
        <v>128594</v>
      </c>
      <c r="W7" s="96">
        <v>131843</v>
      </c>
      <c r="X7" s="96">
        <v>130908</v>
      </c>
      <c r="Y7" s="96">
        <v>122315</v>
      </c>
      <c r="Z7" s="96">
        <v>123926</v>
      </c>
      <c r="AA7" s="96">
        <v>138850</v>
      </c>
      <c r="AB7" s="96">
        <v>124003</v>
      </c>
      <c r="AC7" s="96">
        <v>125728</v>
      </c>
      <c r="AD7" s="96">
        <v>136537</v>
      </c>
      <c r="AE7" s="96">
        <v>118681</v>
      </c>
      <c r="AF7" s="96">
        <v>131404</v>
      </c>
      <c r="AG7" s="96">
        <v>139472</v>
      </c>
      <c r="AH7" s="96">
        <v>135162</v>
      </c>
      <c r="AI7" s="96">
        <v>306075</v>
      </c>
      <c r="AJ7" s="96">
        <v>148436</v>
      </c>
      <c r="AK7" s="96">
        <v>124852</v>
      </c>
    </row>
    <row r="8" spans="1:37" x14ac:dyDescent="0.35">
      <c r="A8" s="5" t="s">
        <v>62</v>
      </c>
      <c r="B8" s="5" t="s">
        <v>65</v>
      </c>
      <c r="C8" s="96">
        <v>175671</v>
      </c>
      <c r="D8" s="96">
        <v>179428</v>
      </c>
      <c r="E8" s="96">
        <v>172430</v>
      </c>
      <c r="F8" s="96">
        <v>150430</v>
      </c>
      <c r="G8" s="96">
        <v>130558</v>
      </c>
      <c r="H8" s="96">
        <v>154395</v>
      </c>
      <c r="I8" s="96">
        <v>179470</v>
      </c>
      <c r="J8" s="96">
        <v>212294</v>
      </c>
      <c r="K8" s="96">
        <v>194263</v>
      </c>
      <c r="L8" s="96">
        <v>181181</v>
      </c>
      <c r="M8" s="96">
        <v>143636</v>
      </c>
      <c r="N8" s="96">
        <v>169502</v>
      </c>
      <c r="O8" s="96">
        <v>149417</v>
      </c>
      <c r="P8" s="96">
        <v>128515</v>
      </c>
      <c r="Q8" s="96">
        <v>162652</v>
      </c>
      <c r="R8" s="96">
        <v>142568</v>
      </c>
      <c r="S8" s="96">
        <v>148976</v>
      </c>
      <c r="T8" s="96">
        <v>177226</v>
      </c>
      <c r="U8" s="96">
        <v>195496</v>
      </c>
      <c r="V8" s="96">
        <v>210546</v>
      </c>
      <c r="W8" s="96">
        <v>221461</v>
      </c>
      <c r="X8" s="96">
        <v>207176</v>
      </c>
      <c r="Y8" s="96">
        <v>183258</v>
      </c>
      <c r="Z8" s="96">
        <v>185849</v>
      </c>
      <c r="AA8" s="96">
        <v>185516</v>
      </c>
      <c r="AB8" s="96">
        <v>143601</v>
      </c>
      <c r="AC8" s="96">
        <v>198474</v>
      </c>
      <c r="AD8" s="96">
        <v>174593</v>
      </c>
      <c r="AE8" s="96">
        <v>217022</v>
      </c>
      <c r="AF8" s="96">
        <v>194956</v>
      </c>
      <c r="AG8" s="96">
        <v>205632</v>
      </c>
      <c r="AH8" s="96">
        <v>232804</v>
      </c>
      <c r="AI8" s="96">
        <v>285719</v>
      </c>
      <c r="AJ8" s="96">
        <v>202229</v>
      </c>
      <c r="AK8" s="96">
        <v>191100</v>
      </c>
    </row>
    <row r="9" spans="1:37" x14ac:dyDescent="0.35">
      <c r="A9" s="5" t="s">
        <v>62</v>
      </c>
      <c r="B9" s="12" t="s">
        <v>66</v>
      </c>
      <c r="C9" s="96">
        <v>4278050</v>
      </c>
      <c r="D9" s="96">
        <v>3630737</v>
      </c>
      <c r="E9" s="96">
        <v>3573241</v>
      </c>
      <c r="F9" s="96">
        <v>3753125</v>
      </c>
      <c r="G9" s="96">
        <v>3642986</v>
      </c>
      <c r="H9" s="96">
        <v>3823540</v>
      </c>
      <c r="I9" s="96">
        <v>4081991</v>
      </c>
      <c r="J9" s="96">
        <v>4521933</v>
      </c>
      <c r="K9" s="96">
        <v>4254733</v>
      </c>
      <c r="L9" s="96">
        <v>4236585</v>
      </c>
      <c r="M9" s="96">
        <v>3664807</v>
      </c>
      <c r="N9" s="96">
        <v>4010481</v>
      </c>
      <c r="O9" s="96">
        <v>3702641</v>
      </c>
      <c r="P9" s="96">
        <v>3639867</v>
      </c>
      <c r="Q9" s="96">
        <v>3816402</v>
      </c>
      <c r="R9" s="96">
        <v>3983781</v>
      </c>
      <c r="S9" s="96">
        <v>3749137</v>
      </c>
      <c r="T9" s="96">
        <v>3994518</v>
      </c>
      <c r="U9" s="96">
        <v>4401675</v>
      </c>
      <c r="V9" s="96">
        <v>4320628</v>
      </c>
      <c r="W9" s="96">
        <v>4298473</v>
      </c>
      <c r="X9" s="96">
        <v>4406505</v>
      </c>
      <c r="Y9" s="96">
        <v>3879909</v>
      </c>
      <c r="Z9" s="96">
        <v>3947289</v>
      </c>
      <c r="AA9" s="96">
        <v>4154796</v>
      </c>
      <c r="AB9" s="96">
        <v>3651277</v>
      </c>
      <c r="AC9" s="96">
        <v>4027667</v>
      </c>
      <c r="AD9" s="96">
        <v>3950896</v>
      </c>
      <c r="AE9" s="96">
        <v>3779569</v>
      </c>
      <c r="AF9" s="96">
        <v>4080524</v>
      </c>
      <c r="AG9" s="96">
        <v>4337935</v>
      </c>
      <c r="AH9" s="96">
        <v>4373307</v>
      </c>
      <c r="AI9" s="96">
        <v>4843428</v>
      </c>
      <c r="AJ9" s="96">
        <v>4212138</v>
      </c>
      <c r="AK9" s="96">
        <v>3885036</v>
      </c>
    </row>
    <row r="10" spans="1:37" x14ac:dyDescent="0.35">
      <c r="A10" s="5" t="s">
        <v>67</v>
      </c>
      <c r="B10" s="5" t="s">
        <v>68</v>
      </c>
      <c r="C10" s="96">
        <v>262758</v>
      </c>
      <c r="D10" s="96">
        <v>123679</v>
      </c>
      <c r="E10" s="96">
        <v>186061</v>
      </c>
      <c r="F10" s="96">
        <v>175804</v>
      </c>
      <c r="G10" s="96">
        <v>159086</v>
      </c>
      <c r="H10" s="96">
        <v>186069</v>
      </c>
      <c r="I10" s="96">
        <v>228484</v>
      </c>
      <c r="J10" s="96">
        <v>215998</v>
      </c>
      <c r="K10" s="96">
        <v>237915</v>
      </c>
      <c r="L10" s="96">
        <v>324645</v>
      </c>
      <c r="M10" s="96">
        <v>100842</v>
      </c>
      <c r="N10" s="96">
        <v>256315</v>
      </c>
      <c r="O10" s="96">
        <v>131792</v>
      </c>
      <c r="P10" s="96">
        <v>178805</v>
      </c>
      <c r="Q10" s="96">
        <v>237818</v>
      </c>
      <c r="R10" s="96">
        <v>185543</v>
      </c>
      <c r="S10" s="96">
        <v>250215</v>
      </c>
      <c r="T10" s="96">
        <v>228612</v>
      </c>
      <c r="U10" s="96">
        <v>245887</v>
      </c>
      <c r="V10" s="96">
        <v>300932</v>
      </c>
      <c r="W10" s="96">
        <v>782973</v>
      </c>
      <c r="X10" s="96">
        <v>301926</v>
      </c>
      <c r="Y10" s="96">
        <v>278509</v>
      </c>
      <c r="Z10" s="96">
        <v>239268</v>
      </c>
      <c r="AA10" s="96">
        <v>281654</v>
      </c>
      <c r="AB10" s="96">
        <v>223212</v>
      </c>
      <c r="AC10" s="96">
        <v>235250</v>
      </c>
      <c r="AD10" s="96">
        <v>225731</v>
      </c>
      <c r="AE10" s="96">
        <v>235470</v>
      </c>
      <c r="AF10" s="96">
        <v>221362</v>
      </c>
      <c r="AG10" s="96">
        <v>231988</v>
      </c>
      <c r="AH10" s="96">
        <v>238407</v>
      </c>
      <c r="AI10" s="96">
        <v>299410</v>
      </c>
      <c r="AJ10" s="96">
        <v>295833</v>
      </c>
      <c r="AK10" s="96">
        <v>237840</v>
      </c>
    </row>
    <row r="12" spans="1:37" x14ac:dyDescent="0.35">
      <c r="A12" s="159" t="s">
        <v>73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ht="72.5" x14ac:dyDescent="0.35">
      <c r="A13" s="149" t="s">
        <v>58</v>
      </c>
      <c r="C13" s="84" t="str">
        <f>C4</f>
        <v>January 2020 Sewer Billed Volume (CCF)</v>
      </c>
      <c r="D13" s="84" t="str">
        <f t="shared" ref="D13:R13" si="16">D4</f>
        <v>February 2020 Sewer Billed Volume (CCF)</v>
      </c>
      <c r="E13" s="84" t="str">
        <f t="shared" si="16"/>
        <v>March 2020 Sewer Billed Volume (CCF)</v>
      </c>
      <c r="F13" s="84" t="str">
        <f t="shared" si="16"/>
        <v>April 2020 Sewer Billed Volume (CCF)</v>
      </c>
      <c r="G13" s="84" t="str">
        <f t="shared" si="16"/>
        <v>May 2020 Sewer Billed Volume (CCF)</v>
      </c>
      <c r="H13" s="84" t="str">
        <f t="shared" si="16"/>
        <v>June 2020 Sewer Billed Volume (CCF)</v>
      </c>
      <c r="I13" s="84" t="str">
        <f t="shared" si="16"/>
        <v>July 2020 Sewer Billed Volume (CCF)</v>
      </c>
      <c r="J13" s="84" t="str">
        <f t="shared" si="16"/>
        <v>August 2020 Sewer Billed Volume (CCF)</v>
      </c>
      <c r="K13" s="84" t="str">
        <f t="shared" si="16"/>
        <v>September 2020 Sewer Billed Volume (CCF)</v>
      </c>
      <c r="L13" s="84" t="str">
        <f t="shared" si="16"/>
        <v>October 2020 Sewer Billed Volume (CCF)</v>
      </c>
      <c r="M13" s="84" t="str">
        <f t="shared" si="16"/>
        <v>November 2020 Sewer Billed Volume (CCF)</v>
      </c>
      <c r="N13" s="84" t="str">
        <f t="shared" si="16"/>
        <v>December 2020 Sewer Billed Volume (CCF)</v>
      </c>
      <c r="O13" s="84" t="str">
        <f t="shared" si="16"/>
        <v>January 2021 Sewer Billed Volume (CCF)</v>
      </c>
      <c r="P13" s="84" t="str">
        <f t="shared" si="16"/>
        <v>February 2021 Sewer Billed Volume (CCF)</v>
      </c>
      <c r="Q13" s="84" t="str">
        <f t="shared" si="16"/>
        <v>March 2021 Sewer Billed Volume (CCF)</v>
      </c>
      <c r="R13" s="84" t="str">
        <f t="shared" si="16"/>
        <v>April 2021 Sewer Billed Volume (CCF)</v>
      </c>
      <c r="S13" s="84" t="str">
        <f t="shared" ref="S13:W13" si="17">S4</f>
        <v>May 2021 Sewer Billed Volume (CCF)</v>
      </c>
      <c r="T13" s="84" t="str">
        <f t="shared" si="17"/>
        <v>June 2021 Sewer Billed Volume (CCF)</v>
      </c>
      <c r="U13" s="84" t="str">
        <f t="shared" si="17"/>
        <v>July 2021 Sewer Billed Volume (CCF)</v>
      </c>
      <c r="V13" s="84" t="str">
        <f t="shared" si="17"/>
        <v>August 2021 Sewer Billed Volume (CCF)</v>
      </c>
      <c r="W13" s="84" t="str">
        <f t="shared" si="17"/>
        <v>September 2021 Sewer Billed Volume (CCF)</v>
      </c>
      <c r="X13" s="84" t="str">
        <f t="shared" ref="X13:AF13" si="18">X4</f>
        <v>October 2021 Sewer Billed Volume (CCF)</v>
      </c>
      <c r="Y13" s="84" t="str">
        <f t="shared" si="18"/>
        <v>November 2021 Sewer Billed Volume (CCF)</v>
      </c>
      <c r="Z13" s="84" t="str">
        <f t="shared" si="18"/>
        <v>December 2021 Sewer Billed Volume (CCF)</v>
      </c>
      <c r="AA13" s="84" t="str">
        <f t="shared" si="18"/>
        <v>January 2022 Sewer Billed Volume (CCF)</v>
      </c>
      <c r="AB13" s="84" t="str">
        <f t="shared" si="18"/>
        <v>February 2022 Sewer Billed Volume (CCF)</v>
      </c>
      <c r="AC13" s="84" t="str">
        <f t="shared" si="18"/>
        <v>March 2022 Sewer Billed Volume (CCF)</v>
      </c>
      <c r="AD13" s="84" t="str">
        <f t="shared" si="18"/>
        <v>April 2022 Sewer Billed Volume (CCF)</v>
      </c>
      <c r="AE13" s="84" t="str">
        <f t="shared" si="18"/>
        <v>May 2022 Sewer Billed Volume (CCF)</v>
      </c>
      <c r="AF13" s="84" t="str">
        <f t="shared" si="18"/>
        <v>June 2022 Sewer Billed Volume (CCF)</v>
      </c>
      <c r="AG13" s="84" t="str">
        <f t="shared" ref="AG13:AK13" si="19">AG4</f>
        <v>July 2022 Sewer Billed Volume (CCF)</v>
      </c>
      <c r="AH13" s="84" t="str">
        <f t="shared" si="19"/>
        <v>August 2022 Sewer Billed Volume (CCF)</v>
      </c>
      <c r="AI13" s="84" t="str">
        <f t="shared" si="19"/>
        <v>September 2022 Sewer Billed Volume (CCF)</v>
      </c>
      <c r="AJ13" s="84" t="str">
        <f t="shared" si="19"/>
        <v>October 2022 Sewer Billed Volume (CCF)</v>
      </c>
      <c r="AK13" s="84" t="str">
        <f t="shared" si="19"/>
        <v>November 2022 Sewer Billed Volume (CCF)</v>
      </c>
    </row>
    <row r="14" spans="1:37" x14ac:dyDescent="0.35">
      <c r="A14" s="5" t="s">
        <v>60</v>
      </c>
      <c r="C14" s="14">
        <f t="shared" ref="C14:S16" si="20">SUMIF($A$5:$A$10,$A14,C$5:C$10)</f>
        <v>126186</v>
      </c>
      <c r="D14" s="14">
        <f t="shared" si="20"/>
        <v>100627</v>
      </c>
      <c r="E14" s="14">
        <f t="shared" si="20"/>
        <v>98673</v>
      </c>
      <c r="F14" s="14">
        <f t="shared" si="20"/>
        <v>114281</v>
      </c>
      <c r="G14" s="14">
        <f t="shared" si="20"/>
        <v>115439</v>
      </c>
      <c r="H14" s="14">
        <f t="shared" si="20"/>
        <v>119893</v>
      </c>
      <c r="I14" s="14">
        <f t="shared" si="20"/>
        <v>124756</v>
      </c>
      <c r="J14" s="14">
        <f t="shared" si="20"/>
        <v>138661</v>
      </c>
      <c r="K14" s="14">
        <f t="shared" si="20"/>
        <v>126622</v>
      </c>
      <c r="L14" s="14">
        <f t="shared" si="20"/>
        <v>127654</v>
      </c>
      <c r="M14" s="14">
        <f t="shared" si="20"/>
        <v>102582</v>
      </c>
      <c r="N14" s="14">
        <f t="shared" si="20"/>
        <v>148800</v>
      </c>
      <c r="O14" s="14">
        <f t="shared" si="20"/>
        <v>118551</v>
      </c>
      <c r="P14" s="14">
        <f t="shared" si="20"/>
        <v>116742</v>
      </c>
      <c r="Q14" s="14">
        <f t="shared" si="20"/>
        <v>119308</v>
      </c>
      <c r="R14" s="14">
        <f t="shared" si="20"/>
        <v>128045</v>
      </c>
      <c r="S14" s="14">
        <f t="shared" si="20"/>
        <v>111458</v>
      </c>
      <c r="T14" s="14">
        <f t="shared" ref="T14:AI16" si="21">SUMIF($A$5:$A$10,$A14,T$5:T$10)</f>
        <v>117299</v>
      </c>
      <c r="U14" s="14">
        <f t="shared" si="21"/>
        <v>130231</v>
      </c>
      <c r="V14" s="14">
        <f t="shared" si="21"/>
        <v>127096</v>
      </c>
      <c r="W14" s="14">
        <f t="shared" si="21"/>
        <v>127094</v>
      </c>
      <c r="X14" s="14">
        <f t="shared" si="21"/>
        <v>137087</v>
      </c>
      <c r="Y14" s="14">
        <f t="shared" si="21"/>
        <v>122124</v>
      </c>
      <c r="Z14" s="14">
        <f t="shared" si="21"/>
        <v>120476</v>
      </c>
      <c r="AA14" s="14">
        <f t="shared" si="21"/>
        <v>115578</v>
      </c>
      <c r="AB14" s="14">
        <f t="shared" si="21"/>
        <v>92445</v>
      </c>
      <c r="AC14" s="14">
        <f t="shared" si="21"/>
        <v>91038</v>
      </c>
      <c r="AD14" s="14">
        <f t="shared" si="21"/>
        <v>74596</v>
      </c>
      <c r="AE14" s="14">
        <f t="shared" si="21"/>
        <v>70157</v>
      </c>
      <c r="AF14" s="14">
        <f t="shared" si="21"/>
        <v>72629</v>
      </c>
      <c r="AG14" s="14">
        <f t="shared" si="21"/>
        <v>81615</v>
      </c>
      <c r="AH14" s="14">
        <f t="shared" si="21"/>
        <v>88467</v>
      </c>
      <c r="AI14" s="14">
        <f t="shared" si="21"/>
        <v>111515</v>
      </c>
      <c r="AJ14" s="14">
        <f t="shared" ref="AG14:AK16" si="22">SUMIF($A$5:$A$10,$A14,AJ$5:AJ$10)</f>
        <v>104026</v>
      </c>
      <c r="AK14" s="14">
        <f t="shared" si="22"/>
        <v>100983</v>
      </c>
    </row>
    <row r="15" spans="1:37" x14ac:dyDescent="0.35">
      <c r="A15" s="5" t="s">
        <v>62</v>
      </c>
      <c r="C15" s="14">
        <f>SUMIF($A$5:$A$10,$A15,C$5:C$10)</f>
        <v>4654151</v>
      </c>
      <c r="D15" s="14">
        <f t="shared" si="20"/>
        <v>3981679</v>
      </c>
      <c r="E15" s="14">
        <f t="shared" si="20"/>
        <v>3914648</v>
      </c>
      <c r="F15" s="14">
        <f t="shared" si="20"/>
        <v>4089705</v>
      </c>
      <c r="G15" s="14">
        <f t="shared" si="20"/>
        <v>3961597</v>
      </c>
      <c r="H15" s="14">
        <f t="shared" si="20"/>
        <v>4174009</v>
      </c>
      <c r="I15" s="14">
        <f t="shared" si="20"/>
        <v>4467876</v>
      </c>
      <c r="J15" s="14">
        <f t="shared" si="20"/>
        <v>4963552</v>
      </c>
      <c r="K15" s="14">
        <f t="shared" si="20"/>
        <v>4661480</v>
      </c>
      <c r="L15" s="14">
        <f t="shared" si="20"/>
        <v>4627794</v>
      </c>
      <c r="M15" s="14">
        <f t="shared" si="20"/>
        <v>3988435</v>
      </c>
      <c r="N15" s="14">
        <f t="shared" ref="N15:AC16" si="23">SUMIF($A$5:$A$10,$A15,N$5:N$10)</f>
        <v>4364326</v>
      </c>
      <c r="O15" s="14">
        <f t="shared" si="23"/>
        <v>4047341</v>
      </c>
      <c r="P15" s="14">
        <f t="shared" si="23"/>
        <v>3959278</v>
      </c>
      <c r="Q15" s="14">
        <f t="shared" si="23"/>
        <v>4165542</v>
      </c>
      <c r="R15" s="14">
        <f t="shared" si="23"/>
        <v>4325489</v>
      </c>
      <c r="S15" s="14">
        <f t="shared" si="23"/>
        <v>4078842</v>
      </c>
      <c r="T15" s="14">
        <f t="shared" si="23"/>
        <v>4358359</v>
      </c>
      <c r="U15" s="14">
        <f t="shared" si="23"/>
        <v>4807112</v>
      </c>
      <c r="V15" s="14">
        <f t="shared" si="23"/>
        <v>4736535</v>
      </c>
      <c r="W15" s="14">
        <f t="shared" si="23"/>
        <v>4728274</v>
      </c>
      <c r="X15" s="14">
        <f t="shared" si="23"/>
        <v>4822444</v>
      </c>
      <c r="Y15" s="14">
        <f t="shared" si="23"/>
        <v>4255876</v>
      </c>
      <c r="Z15" s="14">
        <f t="shared" si="23"/>
        <v>4328104</v>
      </c>
      <c r="AA15" s="14">
        <f t="shared" si="23"/>
        <v>4558634</v>
      </c>
      <c r="AB15" s="14">
        <f t="shared" si="23"/>
        <v>3991264</v>
      </c>
      <c r="AC15" s="14">
        <f t="shared" si="23"/>
        <v>4434442</v>
      </c>
      <c r="AD15" s="14">
        <f t="shared" si="21"/>
        <v>4344124</v>
      </c>
      <c r="AE15" s="14">
        <f t="shared" si="21"/>
        <v>4194128</v>
      </c>
      <c r="AF15" s="14">
        <f t="shared" si="21"/>
        <v>4490285</v>
      </c>
      <c r="AG15" s="14">
        <f t="shared" si="22"/>
        <v>4768726</v>
      </c>
      <c r="AH15" s="14">
        <f t="shared" si="22"/>
        <v>4820896</v>
      </c>
      <c r="AI15" s="14">
        <f t="shared" si="22"/>
        <v>5523673</v>
      </c>
      <c r="AJ15" s="14">
        <f t="shared" si="22"/>
        <v>4638726</v>
      </c>
      <c r="AK15" s="14">
        <f t="shared" si="22"/>
        <v>4275954</v>
      </c>
    </row>
    <row r="16" spans="1:37" x14ac:dyDescent="0.35">
      <c r="A16" s="5" t="s">
        <v>67</v>
      </c>
      <c r="C16" s="14">
        <f>SUMIF($A$5:$A$10,$A16,C$5:C$10)</f>
        <v>262758</v>
      </c>
      <c r="D16" s="14">
        <f t="shared" si="20"/>
        <v>123679</v>
      </c>
      <c r="E16" s="14">
        <f t="shared" si="20"/>
        <v>186061</v>
      </c>
      <c r="F16" s="14">
        <f t="shared" si="20"/>
        <v>175804</v>
      </c>
      <c r="G16" s="14">
        <f t="shared" si="20"/>
        <v>159086</v>
      </c>
      <c r="H16" s="14">
        <f t="shared" si="20"/>
        <v>186069</v>
      </c>
      <c r="I16" s="14">
        <f t="shared" si="20"/>
        <v>228484</v>
      </c>
      <c r="J16" s="14">
        <f t="shared" si="20"/>
        <v>215998</v>
      </c>
      <c r="K16" s="14">
        <f t="shared" si="20"/>
        <v>237915</v>
      </c>
      <c r="L16" s="14">
        <f t="shared" si="20"/>
        <v>324645</v>
      </c>
      <c r="M16" s="14">
        <f t="shared" si="20"/>
        <v>100842</v>
      </c>
      <c r="N16" s="14">
        <f t="shared" si="23"/>
        <v>256315</v>
      </c>
      <c r="O16" s="14">
        <f t="shared" si="23"/>
        <v>131792</v>
      </c>
      <c r="P16" s="14">
        <f t="shared" si="23"/>
        <v>178805</v>
      </c>
      <c r="Q16" s="14">
        <f t="shared" si="23"/>
        <v>237818</v>
      </c>
      <c r="R16" s="14">
        <f t="shared" si="23"/>
        <v>185543</v>
      </c>
      <c r="S16" s="14">
        <f t="shared" si="23"/>
        <v>250215</v>
      </c>
      <c r="T16" s="14">
        <f t="shared" si="23"/>
        <v>228612</v>
      </c>
      <c r="U16" s="14">
        <f t="shared" si="23"/>
        <v>245887</v>
      </c>
      <c r="V16" s="14">
        <f t="shared" si="23"/>
        <v>300932</v>
      </c>
      <c r="W16" s="14">
        <f t="shared" si="23"/>
        <v>782973</v>
      </c>
      <c r="X16" s="14">
        <f t="shared" si="21"/>
        <v>301926</v>
      </c>
      <c r="Y16" s="14">
        <f t="shared" si="21"/>
        <v>278509</v>
      </c>
      <c r="Z16" s="14">
        <f t="shared" si="21"/>
        <v>239268</v>
      </c>
      <c r="AA16" s="14">
        <f t="shared" si="21"/>
        <v>281654</v>
      </c>
      <c r="AB16" s="14">
        <f t="shared" si="21"/>
        <v>223212</v>
      </c>
      <c r="AC16" s="14">
        <f t="shared" si="21"/>
        <v>235250</v>
      </c>
      <c r="AD16" s="14">
        <f t="shared" si="21"/>
        <v>225731</v>
      </c>
      <c r="AE16" s="14">
        <f t="shared" si="21"/>
        <v>235470</v>
      </c>
      <c r="AF16" s="14">
        <f t="shared" si="21"/>
        <v>221362</v>
      </c>
      <c r="AG16" s="14">
        <f t="shared" si="22"/>
        <v>231988</v>
      </c>
      <c r="AH16" s="14">
        <f t="shared" si="22"/>
        <v>238407</v>
      </c>
      <c r="AI16" s="14">
        <f t="shared" si="22"/>
        <v>299410</v>
      </c>
      <c r="AJ16" s="14">
        <f t="shared" si="22"/>
        <v>295833</v>
      </c>
      <c r="AK16" s="14">
        <f t="shared" si="22"/>
        <v>237840</v>
      </c>
    </row>
    <row r="18" spans="1:15" x14ac:dyDescent="0.35">
      <c r="A18" s="4"/>
    </row>
    <row r="19" spans="1:15" x14ac:dyDescent="0.35">
      <c r="C19" t="s">
        <v>70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x14ac:dyDescent="0.35">
      <c r="C20" t="s">
        <v>71</v>
      </c>
      <c r="E20" s="77"/>
    </row>
    <row r="21" spans="1:15" x14ac:dyDescent="0.35">
      <c r="C21" t="s">
        <v>72</v>
      </c>
    </row>
  </sheetData>
  <mergeCells count="2">
    <mergeCell ref="A1:T1"/>
    <mergeCell ref="A12:T12"/>
  </mergeCells>
  <pageMargins left="0.7" right="0.7" top="0.75" bottom="0.75" header="0.3" footer="0.3"/>
  <pageSetup fitToHeight="0" orientation="landscape" r:id="rId1"/>
  <headerFooter>
    <oddHeader>&amp;L2023 TAP Reconcilable Rider Reports and Projection Model: &amp;A
January 2022 - November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J12"/>
  <sheetViews>
    <sheetView showGridLines="0" zoomScaleNormal="100" zoomScaleSheetLayoutView="100" workbookViewId="0">
      <selection activeCell="D13" sqref="D13"/>
    </sheetView>
  </sheetViews>
  <sheetFormatPr defaultColWidth="9.08984375" defaultRowHeight="14.5" x14ac:dyDescent="0.35"/>
  <cols>
    <col min="1" max="1" width="20" bestFit="1" customWidth="1"/>
    <col min="2" max="12" width="11" style="74" customWidth="1"/>
    <col min="13" max="36" width="11" customWidth="1"/>
  </cols>
  <sheetData>
    <row r="1" spans="1:36" x14ac:dyDescent="0.35">
      <c r="A1" s="147" t="str">
        <f>"DR-3A: TAP Participants"</f>
        <v>DR-3A: TAP Participants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 x14ac:dyDescent="0.35">
      <c r="A2" s="85"/>
      <c r="B2" s="86">
        <v>2020</v>
      </c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2021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f>IF(Y3=1,X2+1,X2)</f>
        <v>2021</v>
      </c>
      <c r="Z2" s="86">
        <f t="shared" ref="Z2:AE2" si="0">IF(Z3=1,Y2+1,Y2)</f>
        <v>2022</v>
      </c>
      <c r="AA2" s="86">
        <f t="shared" si="0"/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ref="AF2" si="1">IF(AF3=1,AE2+1,AE2)</f>
        <v>2022</v>
      </c>
      <c r="AG2" s="86">
        <f t="shared" ref="AG2" si="2">IF(AG3=1,AF2+1,AF2)</f>
        <v>2022</v>
      </c>
      <c r="AH2" s="86">
        <f t="shared" ref="AH2" si="3">IF(AH3=1,AG2+1,AG2)</f>
        <v>2022</v>
      </c>
      <c r="AI2" s="86">
        <f t="shared" ref="AI2:AJ2" si="4">IF(AI3=1,AH2+1,AH2)</f>
        <v>2022</v>
      </c>
      <c r="AJ2" s="86">
        <f t="shared" si="4"/>
        <v>2022</v>
      </c>
    </row>
    <row r="3" spans="1:36" x14ac:dyDescent="0.35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v>12</v>
      </c>
      <c r="N3" s="86">
        <v>1</v>
      </c>
      <c r="O3" s="86">
        <v>2</v>
      </c>
      <c r="P3" s="86">
        <v>3</v>
      </c>
      <c r="Q3" s="86">
        <v>4</v>
      </c>
      <c r="R3" s="86">
        <v>5</v>
      </c>
      <c r="S3" s="86">
        <v>6</v>
      </c>
      <c r="T3" s="86">
        <v>7</v>
      </c>
      <c r="U3" s="86">
        <v>8</v>
      </c>
      <c r="V3" s="86">
        <v>9</v>
      </c>
      <c r="W3" s="86">
        <v>10</v>
      </c>
      <c r="X3" s="86">
        <v>11</v>
      </c>
      <c r="Y3" s="86">
        <f>IF(X3&lt;12,X3+1,1)</f>
        <v>12</v>
      </c>
      <c r="Z3" s="86">
        <f t="shared" ref="Z3:AE3" si="5">IF(Y3&lt;12,Y3+1,1)</f>
        <v>1</v>
      </c>
      <c r="AA3" s="86">
        <f t="shared" si="5"/>
        <v>2</v>
      </c>
      <c r="AB3" s="86">
        <f t="shared" si="5"/>
        <v>3</v>
      </c>
      <c r="AC3" s="86">
        <f t="shared" si="5"/>
        <v>4</v>
      </c>
      <c r="AD3" s="86">
        <f t="shared" si="5"/>
        <v>5</v>
      </c>
      <c r="AE3" s="86">
        <f t="shared" si="5"/>
        <v>6</v>
      </c>
      <c r="AF3" s="86">
        <f t="shared" ref="AF3" si="6">IF(AE3&lt;12,AE3+1,1)</f>
        <v>7</v>
      </c>
      <c r="AG3" s="86">
        <f t="shared" ref="AG3" si="7">IF(AF3&lt;12,AF3+1,1)</f>
        <v>8</v>
      </c>
      <c r="AH3" s="86">
        <f t="shared" ref="AH3" si="8">IF(AG3&lt;12,AG3+1,1)</f>
        <v>9</v>
      </c>
      <c r="AI3" s="86">
        <f t="shared" ref="AI3:AJ3" si="9">IF(AH3&lt;12,AH3+1,1)</f>
        <v>10</v>
      </c>
      <c r="AJ3" s="86">
        <f t="shared" si="9"/>
        <v>11</v>
      </c>
    </row>
    <row r="4" spans="1:36" ht="43.5" x14ac:dyDescent="0.35">
      <c r="A4" s="71" t="s">
        <v>74</v>
      </c>
      <c r="B4" s="87" t="str">
        <f>TEXT(B3*29, "Mmmm")&amp;" "&amp;B2&amp;" Participants"</f>
        <v>January 2020 Participants</v>
      </c>
      <c r="C4" s="87" t="str">
        <f t="shared" ref="C4:Q4" si="10">TEXT(C3*29, "Mmmm")&amp;" "&amp;C2&amp;" Participants"</f>
        <v>February 2020 Participants</v>
      </c>
      <c r="D4" s="87" t="str">
        <f t="shared" si="10"/>
        <v>March 2020 Participants</v>
      </c>
      <c r="E4" s="87" t="str">
        <f t="shared" si="10"/>
        <v>April 2020 Participants</v>
      </c>
      <c r="F4" s="87" t="str">
        <f t="shared" si="10"/>
        <v>May 2020 Participants</v>
      </c>
      <c r="G4" s="87" t="str">
        <f t="shared" si="10"/>
        <v>June 2020 Participants</v>
      </c>
      <c r="H4" s="87" t="str">
        <f t="shared" si="10"/>
        <v>July 2020 Participants</v>
      </c>
      <c r="I4" s="87" t="str">
        <f t="shared" si="10"/>
        <v>August 2020 Participants</v>
      </c>
      <c r="J4" s="87" t="str">
        <f t="shared" si="10"/>
        <v>September 2020 Participants</v>
      </c>
      <c r="K4" s="87" t="str">
        <f t="shared" si="10"/>
        <v>October 2020 Participants</v>
      </c>
      <c r="L4" s="87" t="str">
        <f t="shared" si="10"/>
        <v>November 2020 Participants</v>
      </c>
      <c r="M4" s="87" t="str">
        <f t="shared" si="10"/>
        <v>December 2020 Participants</v>
      </c>
      <c r="N4" s="87" t="str">
        <f t="shared" si="10"/>
        <v>January 2021 Participants</v>
      </c>
      <c r="O4" s="87" t="str">
        <f t="shared" si="10"/>
        <v>February 2021 Participants</v>
      </c>
      <c r="P4" s="87" t="str">
        <f t="shared" si="10"/>
        <v>March 2021 Participants</v>
      </c>
      <c r="Q4" s="87" t="str">
        <f t="shared" si="10"/>
        <v>April 2021 Participants</v>
      </c>
      <c r="R4" s="87" t="str">
        <f t="shared" ref="R4:AE4" si="11">TEXT(R3*29, "Mmmm")&amp;" "&amp;R2&amp;" Participants"</f>
        <v>May 2021 Participants</v>
      </c>
      <c r="S4" s="87" t="str">
        <f t="shared" si="11"/>
        <v>June 2021 Participants</v>
      </c>
      <c r="T4" s="87" t="str">
        <f t="shared" si="11"/>
        <v>July 2021 Participants</v>
      </c>
      <c r="U4" s="87" t="str">
        <f t="shared" si="11"/>
        <v>August 2021 Participants</v>
      </c>
      <c r="V4" s="87" t="str">
        <f t="shared" si="11"/>
        <v>September 2021 Participants</v>
      </c>
      <c r="W4" s="87" t="str">
        <f t="shared" si="11"/>
        <v>October 2021 Participants</v>
      </c>
      <c r="X4" s="87" t="str">
        <f t="shared" si="11"/>
        <v>November 2021 Participants</v>
      </c>
      <c r="Y4" s="87" t="str">
        <f t="shared" si="11"/>
        <v>December 2021 Participants</v>
      </c>
      <c r="Z4" s="87" t="str">
        <f t="shared" si="11"/>
        <v>January 2022 Participants</v>
      </c>
      <c r="AA4" s="87" t="str">
        <f t="shared" si="11"/>
        <v>February 2022 Participants</v>
      </c>
      <c r="AB4" s="87" t="str">
        <f t="shared" si="11"/>
        <v>March 2022 Participants</v>
      </c>
      <c r="AC4" s="87" t="str">
        <f t="shared" si="11"/>
        <v>April 2022 Participants</v>
      </c>
      <c r="AD4" s="87" t="str">
        <f t="shared" si="11"/>
        <v>May 2022 Participants</v>
      </c>
      <c r="AE4" s="87" t="str">
        <f t="shared" si="11"/>
        <v>June 2022 Participants</v>
      </c>
      <c r="AF4" s="87" t="str">
        <f t="shared" ref="AF4:AI4" si="12">TEXT(AF3*29, "Mmmm")&amp;" "&amp;AF2&amp;" Participants"</f>
        <v>July 2022 Participants</v>
      </c>
      <c r="AG4" s="87" t="str">
        <f t="shared" si="12"/>
        <v>August 2022 Participants</v>
      </c>
      <c r="AH4" s="87" t="str">
        <f t="shared" si="12"/>
        <v>September 2022 Participants</v>
      </c>
      <c r="AI4" s="87" t="str">
        <f t="shared" si="12"/>
        <v>October 2022 Participants</v>
      </c>
      <c r="AJ4" s="87" t="str">
        <f t="shared" ref="AJ4" si="13">TEXT(AJ3*29, "Mmmm")&amp;" "&amp;AJ2&amp;" Participants"</f>
        <v>November 2022 Participants</v>
      </c>
    </row>
    <row r="5" spans="1:36" x14ac:dyDescent="0.35">
      <c r="A5" t="s">
        <v>63</v>
      </c>
      <c r="B5" s="140">
        <v>3941</v>
      </c>
      <c r="C5" s="140">
        <v>3778</v>
      </c>
      <c r="D5" s="140">
        <v>4091</v>
      </c>
      <c r="E5" s="140">
        <v>4101</v>
      </c>
      <c r="F5" s="140">
        <v>4177</v>
      </c>
      <c r="G5" s="140">
        <v>4247</v>
      </c>
      <c r="H5" s="140">
        <v>4304</v>
      </c>
      <c r="I5" s="140">
        <v>4334</v>
      </c>
      <c r="J5" s="140">
        <v>3755</v>
      </c>
      <c r="K5" s="140">
        <v>3629</v>
      </c>
      <c r="L5" s="140">
        <v>3427</v>
      </c>
      <c r="M5" s="140">
        <v>4434</v>
      </c>
      <c r="N5" s="140">
        <v>4179</v>
      </c>
      <c r="O5" s="140">
        <v>4258</v>
      </c>
      <c r="P5" s="140">
        <v>4506</v>
      </c>
      <c r="Q5" s="140">
        <v>4554</v>
      </c>
      <c r="R5" s="140">
        <v>4606</v>
      </c>
      <c r="S5" s="140">
        <v>4645</v>
      </c>
      <c r="T5" s="140">
        <v>4667</v>
      </c>
      <c r="U5" s="140">
        <v>4644</v>
      </c>
      <c r="V5" s="140">
        <v>4458</v>
      </c>
      <c r="W5" s="140">
        <v>4724</v>
      </c>
      <c r="X5" s="140">
        <v>4737</v>
      </c>
      <c r="Y5" s="140">
        <v>4799</v>
      </c>
      <c r="Z5" s="140">
        <v>4490</v>
      </c>
      <c r="AA5" s="140">
        <v>4019</v>
      </c>
      <c r="AB5" s="140">
        <v>3998</v>
      </c>
      <c r="AC5" s="140">
        <v>3573</v>
      </c>
      <c r="AD5" s="140">
        <v>3294</v>
      </c>
      <c r="AE5" s="140">
        <v>3301</v>
      </c>
      <c r="AF5" s="140">
        <v>3520</v>
      </c>
      <c r="AG5" s="140">
        <v>3785</v>
      </c>
      <c r="AH5" s="140">
        <v>4020</v>
      </c>
      <c r="AI5" s="140">
        <v>4176</v>
      </c>
      <c r="AJ5" s="140">
        <v>4315</v>
      </c>
    </row>
    <row r="6" spans="1:36" x14ac:dyDescent="0.35">
      <c r="A6" t="s">
        <v>75</v>
      </c>
      <c r="B6" s="74">
        <v>0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</row>
    <row r="7" spans="1:36" x14ac:dyDescent="0.35">
      <c r="A7" t="s">
        <v>76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</row>
    <row r="8" spans="1:36" x14ac:dyDescent="0.35">
      <c r="A8" s="48" t="s">
        <v>77</v>
      </c>
      <c r="B8" s="141">
        <v>11215</v>
      </c>
      <c r="C8" s="141">
        <v>10447</v>
      </c>
      <c r="D8" s="141">
        <v>11038</v>
      </c>
      <c r="E8" s="141">
        <v>11034</v>
      </c>
      <c r="F8" s="141">
        <v>11217</v>
      </c>
      <c r="G8" s="141">
        <v>11461</v>
      </c>
      <c r="H8" s="141">
        <v>11610</v>
      </c>
      <c r="I8" s="141">
        <v>11707</v>
      </c>
      <c r="J8" s="141">
        <v>10717</v>
      </c>
      <c r="K8" s="141">
        <v>10516</v>
      </c>
      <c r="L8" s="141">
        <v>9922</v>
      </c>
      <c r="M8" s="141">
        <v>11951</v>
      </c>
      <c r="N8" s="141">
        <v>11250</v>
      </c>
      <c r="O8" s="141">
        <v>11524</v>
      </c>
      <c r="P8" s="141">
        <v>12133</v>
      </c>
      <c r="Q8" s="141">
        <v>12150</v>
      </c>
      <c r="R8" s="141">
        <v>12126</v>
      </c>
      <c r="S8" s="141">
        <v>12046</v>
      </c>
      <c r="T8" s="141">
        <v>12058</v>
      </c>
      <c r="U8" s="141">
        <v>12018</v>
      </c>
      <c r="V8" s="141">
        <v>11353</v>
      </c>
      <c r="W8" s="141">
        <v>12226</v>
      </c>
      <c r="X8" s="141">
        <v>12244</v>
      </c>
      <c r="Y8" s="141">
        <v>12293</v>
      </c>
      <c r="Z8" s="141">
        <v>10697</v>
      </c>
      <c r="AA8" s="141">
        <v>9275</v>
      </c>
      <c r="AB8" s="141">
        <v>8815</v>
      </c>
      <c r="AC8" s="141">
        <v>7347</v>
      </c>
      <c r="AD8" s="141">
        <v>6817</v>
      </c>
      <c r="AE8" s="141">
        <v>6743</v>
      </c>
      <c r="AF8" s="141">
        <v>7399</v>
      </c>
      <c r="AG8" s="141">
        <v>8263</v>
      </c>
      <c r="AH8" s="141">
        <v>9103</v>
      </c>
      <c r="AI8" s="141">
        <v>9585</v>
      </c>
      <c r="AJ8" s="141">
        <v>10003</v>
      </c>
    </row>
    <row r="9" spans="1:36" x14ac:dyDescent="0.35">
      <c r="A9" t="s">
        <v>78</v>
      </c>
      <c r="B9" s="74">
        <f>SUM(B5:B8)</f>
        <v>15156</v>
      </c>
      <c r="C9" s="74">
        <f t="shared" ref="C9:L9" si="14">SUM(C5:C8)</f>
        <v>14225</v>
      </c>
      <c r="D9" s="74">
        <f t="shared" si="14"/>
        <v>15129</v>
      </c>
      <c r="E9" s="74">
        <f t="shared" si="14"/>
        <v>15135</v>
      </c>
      <c r="F9" s="74">
        <f t="shared" si="14"/>
        <v>15394</v>
      </c>
      <c r="G9" s="74">
        <f t="shared" si="14"/>
        <v>15708</v>
      </c>
      <c r="H9" s="74">
        <f t="shared" si="14"/>
        <v>15914</v>
      </c>
      <c r="I9" s="74">
        <f t="shared" si="14"/>
        <v>16041</v>
      </c>
      <c r="J9" s="74">
        <f t="shared" si="14"/>
        <v>14472</v>
      </c>
      <c r="K9" s="74">
        <f t="shared" si="14"/>
        <v>14145</v>
      </c>
      <c r="L9" s="74">
        <f t="shared" si="14"/>
        <v>13349</v>
      </c>
      <c r="M9" s="74">
        <f t="shared" ref="M9:AJ9" si="15">SUM(M5:M8)</f>
        <v>16385</v>
      </c>
      <c r="N9" s="74">
        <f t="shared" si="15"/>
        <v>15429</v>
      </c>
      <c r="O9" s="74">
        <f t="shared" si="15"/>
        <v>15782</v>
      </c>
      <c r="P9" s="74">
        <f t="shared" si="15"/>
        <v>16639</v>
      </c>
      <c r="Q9" s="74">
        <f t="shared" si="15"/>
        <v>16704</v>
      </c>
      <c r="R9" s="74">
        <f t="shared" si="15"/>
        <v>16732</v>
      </c>
      <c r="S9" s="74">
        <f t="shared" si="15"/>
        <v>16691</v>
      </c>
      <c r="T9" s="74">
        <f t="shared" si="15"/>
        <v>16725</v>
      </c>
      <c r="U9" s="74">
        <f t="shared" si="15"/>
        <v>16662</v>
      </c>
      <c r="V9" s="74">
        <f t="shared" si="15"/>
        <v>15811</v>
      </c>
      <c r="W9" s="74">
        <f t="shared" si="15"/>
        <v>16950</v>
      </c>
      <c r="X9" s="74">
        <f t="shared" si="15"/>
        <v>16981</v>
      </c>
      <c r="Y9" s="74">
        <f t="shared" si="15"/>
        <v>17092</v>
      </c>
      <c r="Z9" s="74">
        <f t="shared" si="15"/>
        <v>15187</v>
      </c>
      <c r="AA9" s="74">
        <f t="shared" si="15"/>
        <v>13294</v>
      </c>
      <c r="AB9" s="74">
        <f t="shared" si="15"/>
        <v>12813</v>
      </c>
      <c r="AC9" s="74">
        <f t="shared" si="15"/>
        <v>10920</v>
      </c>
      <c r="AD9" s="74">
        <f t="shared" si="15"/>
        <v>10111</v>
      </c>
      <c r="AE9" s="74">
        <f t="shared" si="15"/>
        <v>10044</v>
      </c>
      <c r="AF9" s="74">
        <f t="shared" si="15"/>
        <v>10919</v>
      </c>
      <c r="AG9" s="74">
        <f t="shared" si="15"/>
        <v>12048</v>
      </c>
      <c r="AH9" s="74">
        <f t="shared" si="15"/>
        <v>13123</v>
      </c>
      <c r="AI9" s="74">
        <f t="shared" si="15"/>
        <v>13761</v>
      </c>
      <c r="AJ9" s="74">
        <f t="shared" si="15"/>
        <v>14318</v>
      </c>
    </row>
    <row r="11" spans="1:36" x14ac:dyDescent="0.35">
      <c r="B11" t="s">
        <v>79</v>
      </c>
    </row>
    <row r="12" spans="1:36" x14ac:dyDescent="0.35">
      <c r="B12" t="s">
        <v>80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</row>
  </sheetData>
  <pageMargins left="0.7" right="0.7" top="0.75" bottom="0.75" header="0.3" footer="0.3"/>
  <pageSetup fitToWidth="0" fitToHeight="0" orientation="landscape" r:id="rId1"/>
  <headerFooter>
    <oddHeader>&amp;L2023 TAP Reconcilable Rider Reports and Projection Model: &amp;A
January 2022 - November 2022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J13"/>
  <sheetViews>
    <sheetView showGridLines="0" zoomScaleNormal="100" zoomScaleSheetLayoutView="100" workbookViewId="0">
      <selection activeCell="D13" sqref="D13"/>
    </sheetView>
  </sheetViews>
  <sheetFormatPr defaultColWidth="9.08984375" defaultRowHeight="14.5" x14ac:dyDescent="0.35"/>
  <cols>
    <col min="1" max="1" width="16.36328125" customWidth="1"/>
    <col min="2" max="12" width="11.6328125" style="72" customWidth="1"/>
    <col min="13" max="25" width="11.6328125" customWidth="1"/>
    <col min="26" max="36" width="13" customWidth="1"/>
  </cols>
  <sheetData>
    <row r="1" spans="1:36" x14ac:dyDescent="0.35">
      <c r="A1" s="163" t="str">
        <f>"DR-4: TAP Discount"</f>
        <v>DR-4: TAP Discount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 x14ac:dyDescent="0.35">
      <c r="A2" s="85"/>
      <c r="B2" s="86">
        <v>2020</v>
      </c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2021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f>IF(Y3=1,X2+1,X2)</f>
        <v>2021</v>
      </c>
      <c r="Z2" s="86">
        <f>IF(Z3=1,Y2+1,Y2)</f>
        <v>2022</v>
      </c>
      <c r="AA2" s="86">
        <f t="shared" ref="AA2:AE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ref="AF2" si="1">IF(AF3=1,AE2+1,AE2)</f>
        <v>2022</v>
      </c>
      <c r="AG2" s="86">
        <f t="shared" ref="AG2" si="2">IF(AG3=1,AF2+1,AF2)</f>
        <v>2022</v>
      </c>
      <c r="AH2" s="86">
        <f t="shared" ref="AH2" si="3">IF(AH3=1,AG2+1,AG2)</f>
        <v>2022</v>
      </c>
      <c r="AI2" s="86">
        <f t="shared" ref="AI2" si="4">IF(AI3=1,AH2+1,AH2)</f>
        <v>2022</v>
      </c>
      <c r="AJ2" s="86">
        <f t="shared" ref="AJ2" si="5">IF(AJ3=1,AI2+1,AI2)</f>
        <v>2022</v>
      </c>
    </row>
    <row r="3" spans="1:36" x14ac:dyDescent="0.35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v>12</v>
      </c>
      <c r="N3" s="86">
        <v>1</v>
      </c>
      <c r="O3" s="86">
        <v>2</v>
      </c>
      <c r="P3" s="86">
        <v>3</v>
      </c>
      <c r="Q3" s="86">
        <v>4</v>
      </c>
      <c r="R3" s="86">
        <v>5</v>
      </c>
      <c r="S3" s="86">
        <v>6</v>
      </c>
      <c r="T3" s="86">
        <v>7</v>
      </c>
      <c r="U3" s="86">
        <v>8</v>
      </c>
      <c r="V3" s="86">
        <v>9</v>
      </c>
      <c r="W3" s="86">
        <v>10</v>
      </c>
      <c r="X3" s="86">
        <v>11</v>
      </c>
      <c r="Y3" s="86">
        <f>IF(X3&lt;12,X3+1,1)</f>
        <v>12</v>
      </c>
      <c r="Z3" s="86">
        <f>IF(Y3&lt;12,Y3+1,1)</f>
        <v>1</v>
      </c>
      <c r="AA3" s="86">
        <f t="shared" ref="AA3:AE3" si="6">IF(Z3&lt;12,Z3+1,1)</f>
        <v>2</v>
      </c>
      <c r="AB3" s="86">
        <f t="shared" si="6"/>
        <v>3</v>
      </c>
      <c r="AC3" s="86">
        <f t="shared" si="6"/>
        <v>4</v>
      </c>
      <c r="AD3" s="86">
        <f t="shared" si="6"/>
        <v>5</v>
      </c>
      <c r="AE3" s="86">
        <f t="shared" si="6"/>
        <v>6</v>
      </c>
      <c r="AF3" s="86">
        <f t="shared" ref="AF3" si="7">IF(AE3&lt;12,AE3+1,1)</f>
        <v>7</v>
      </c>
      <c r="AG3" s="86">
        <f t="shared" ref="AG3" si="8">IF(AF3&lt;12,AF3+1,1)</f>
        <v>8</v>
      </c>
      <c r="AH3" s="86">
        <f t="shared" ref="AH3" si="9">IF(AG3&lt;12,AG3+1,1)</f>
        <v>9</v>
      </c>
      <c r="AI3" s="86">
        <f t="shared" ref="AI3" si="10">IF(AH3&lt;12,AH3+1,1)</f>
        <v>10</v>
      </c>
      <c r="AJ3" s="86">
        <f t="shared" ref="AJ3" si="11">IF(AI3&lt;12,AI3+1,1)</f>
        <v>11</v>
      </c>
    </row>
    <row r="4" spans="1:36" ht="43.5" x14ac:dyDescent="0.35">
      <c r="A4" s="71" t="s">
        <v>74</v>
      </c>
      <c r="B4" s="87" t="str">
        <f>TEXT(B3*29, "Mmmm")&amp;" "&amp;B2&amp;" Discount"</f>
        <v>January 2020 Discount</v>
      </c>
      <c r="C4" s="87" t="str">
        <f t="shared" ref="C4:Q4" si="12">TEXT(C3*29, "Mmmm")&amp;" "&amp;C2&amp;" Discount"</f>
        <v>February 2020 Discount</v>
      </c>
      <c r="D4" s="87" t="str">
        <f t="shared" si="12"/>
        <v>March 2020 Discount</v>
      </c>
      <c r="E4" s="87" t="str">
        <f t="shared" si="12"/>
        <v>April 2020 Discount</v>
      </c>
      <c r="F4" s="87" t="str">
        <f t="shared" si="12"/>
        <v>May 2020 Discount</v>
      </c>
      <c r="G4" s="87" t="str">
        <f t="shared" si="12"/>
        <v>June 2020 Discount</v>
      </c>
      <c r="H4" s="87" t="str">
        <f t="shared" si="12"/>
        <v>July 2020 Discount</v>
      </c>
      <c r="I4" s="87" t="str">
        <f t="shared" si="12"/>
        <v>August 2020 Discount</v>
      </c>
      <c r="J4" s="87" t="str">
        <f t="shared" si="12"/>
        <v>September 2020 Discount</v>
      </c>
      <c r="K4" s="87" t="str">
        <f t="shared" si="12"/>
        <v>October 2020 Discount</v>
      </c>
      <c r="L4" s="87" t="str">
        <f t="shared" si="12"/>
        <v>November 2020 Discount</v>
      </c>
      <c r="M4" s="87" t="str">
        <f t="shared" si="12"/>
        <v>December 2020 Discount</v>
      </c>
      <c r="N4" s="87" t="str">
        <f t="shared" si="12"/>
        <v>January 2021 Discount</v>
      </c>
      <c r="O4" s="87" t="str">
        <f t="shared" si="12"/>
        <v>February 2021 Discount</v>
      </c>
      <c r="P4" s="87" t="str">
        <f t="shared" si="12"/>
        <v>March 2021 Discount</v>
      </c>
      <c r="Q4" s="87" t="str">
        <f t="shared" si="12"/>
        <v>April 2021 Discount</v>
      </c>
      <c r="R4" s="87" t="str">
        <f t="shared" ref="R4:U4" si="13">TEXT(R3*29, "Mmmm")&amp;" "&amp;R2&amp;" Discount"</f>
        <v>May 2021 Discount</v>
      </c>
      <c r="S4" s="87" t="str">
        <f t="shared" si="13"/>
        <v>June 2021 Discount</v>
      </c>
      <c r="T4" s="87" t="str">
        <f t="shared" si="13"/>
        <v>July 2021 Discount</v>
      </c>
      <c r="U4" s="87" t="str">
        <f t="shared" si="13"/>
        <v>August 2021 Discount</v>
      </c>
      <c r="V4" s="87" t="str">
        <f>TEXT(V3*29, "Mmmm")&amp;" "&amp;V2&amp;" Discount"</f>
        <v>September 2021 Discount</v>
      </c>
      <c r="W4" s="87" t="str">
        <f t="shared" ref="W4:AC4" si="14">TEXT(W3*29, "Mmmm")&amp;" "&amp;W2&amp;" Discount"</f>
        <v>October 2021 Discount</v>
      </c>
      <c r="X4" s="87" t="str">
        <f t="shared" si="14"/>
        <v>November 2021 Discount</v>
      </c>
      <c r="Y4" s="87" t="str">
        <f t="shared" si="14"/>
        <v>December 2021 Discount</v>
      </c>
      <c r="Z4" s="87" t="str">
        <f t="shared" si="14"/>
        <v>January 2022 Discount</v>
      </c>
      <c r="AA4" s="87" t="str">
        <f t="shared" si="14"/>
        <v>February 2022 Discount</v>
      </c>
      <c r="AB4" s="87" t="str">
        <f t="shared" si="14"/>
        <v>March 2022 Discount</v>
      </c>
      <c r="AC4" s="87" t="str">
        <f t="shared" si="14"/>
        <v>April 2022 Discount</v>
      </c>
      <c r="AD4" s="87" t="str">
        <f t="shared" ref="AD4" si="15">TEXT(AD3*29, "Mmmm")&amp;" "&amp;AD2&amp;" Discount"</f>
        <v>May 2022 Discount</v>
      </c>
      <c r="AE4" s="87" t="str">
        <f t="shared" ref="AE4:AJ4" si="16">TEXT(AE3*29, "Mmmm")&amp;" "&amp;AE2&amp;" Discount"</f>
        <v>June 2022 Discount</v>
      </c>
      <c r="AF4" s="87" t="str">
        <f t="shared" si="16"/>
        <v>July 2022 Discount</v>
      </c>
      <c r="AG4" s="87" t="str">
        <f t="shared" si="16"/>
        <v>August 2022 Discount</v>
      </c>
      <c r="AH4" s="87" t="str">
        <f t="shared" si="16"/>
        <v>September 2022 Discount</v>
      </c>
      <c r="AI4" s="87" t="str">
        <f t="shared" si="16"/>
        <v>October 2022 Discount</v>
      </c>
      <c r="AJ4" s="87" t="str">
        <f t="shared" si="16"/>
        <v>November 2022 Discount</v>
      </c>
    </row>
    <row r="5" spans="1:36" x14ac:dyDescent="0.35">
      <c r="A5" t="s">
        <v>81</v>
      </c>
      <c r="B5" s="143">
        <v>139751.51999999999</v>
      </c>
      <c r="C5" s="143">
        <v>110068.79</v>
      </c>
      <c r="D5" s="143">
        <v>106502.48</v>
      </c>
      <c r="E5" s="143">
        <v>121828.46</v>
      </c>
      <c r="F5" s="143">
        <v>124948.97</v>
      </c>
      <c r="G5" s="143">
        <v>129756.85</v>
      </c>
      <c r="H5" s="143">
        <v>137966.45000000001</v>
      </c>
      <c r="I5" s="143">
        <v>156894.31</v>
      </c>
      <c r="J5" s="143">
        <v>148140.49</v>
      </c>
      <c r="K5" s="143">
        <v>146294.88</v>
      </c>
      <c r="L5" s="143">
        <v>114142.32</v>
      </c>
      <c r="M5" s="143">
        <v>138970.20000000001</v>
      </c>
      <c r="N5" s="143">
        <v>123334.09</v>
      </c>
      <c r="O5" s="143">
        <v>123861.18</v>
      </c>
      <c r="P5" s="143">
        <v>123987.9</v>
      </c>
      <c r="Q5" s="143">
        <v>139500.01</v>
      </c>
      <c r="R5" s="143">
        <v>120270.82</v>
      </c>
      <c r="S5" s="143">
        <v>121262.89</v>
      </c>
      <c r="T5" s="143">
        <v>136666.18</v>
      </c>
      <c r="U5" s="143">
        <v>137214.09</v>
      </c>
      <c r="V5" s="143">
        <v>144228.69</v>
      </c>
      <c r="W5" s="143">
        <v>158310.91</v>
      </c>
      <c r="X5" s="143">
        <v>134339</v>
      </c>
      <c r="Y5" s="143">
        <v>141696.63</v>
      </c>
      <c r="Z5" s="143">
        <v>143926.74</v>
      </c>
      <c r="AA5" s="143">
        <v>130461.75999999999</v>
      </c>
      <c r="AB5" s="143">
        <v>131712.24</v>
      </c>
      <c r="AC5" s="143">
        <v>98682.41</v>
      </c>
      <c r="AD5" s="143">
        <v>103766.79</v>
      </c>
      <c r="AE5" s="143">
        <v>103009.97</v>
      </c>
      <c r="AF5" s="143">
        <v>102632.67</v>
      </c>
      <c r="AG5" s="143">
        <v>112755.07</v>
      </c>
      <c r="AH5" s="143">
        <v>142584.29</v>
      </c>
      <c r="AI5" s="143">
        <v>143410.57</v>
      </c>
      <c r="AJ5" s="143">
        <v>136444.68</v>
      </c>
    </row>
    <row r="6" spans="1:36" x14ac:dyDescent="0.35">
      <c r="A6" t="s">
        <v>75</v>
      </c>
      <c r="B6" s="143">
        <v>0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</row>
    <row r="7" spans="1:36" x14ac:dyDescent="0.35">
      <c r="A7" t="s">
        <v>76</v>
      </c>
      <c r="B7" s="143">
        <v>0</v>
      </c>
      <c r="C7" s="143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43">
        <v>0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</row>
    <row r="8" spans="1:36" x14ac:dyDescent="0.35">
      <c r="A8" s="88" t="s">
        <v>77</v>
      </c>
      <c r="B8" s="142">
        <v>671003.04</v>
      </c>
      <c r="C8" s="142">
        <v>528823.80000000005</v>
      </c>
      <c r="D8" s="142">
        <v>515065.04</v>
      </c>
      <c r="E8" s="142">
        <v>605456.68000000005</v>
      </c>
      <c r="F8" s="142">
        <v>614038.47</v>
      </c>
      <c r="G8" s="142">
        <v>634996.75</v>
      </c>
      <c r="H8" s="142">
        <v>660073.13</v>
      </c>
      <c r="I8" s="142">
        <v>735875.66</v>
      </c>
      <c r="J8" s="142">
        <v>693177.61</v>
      </c>
      <c r="K8" s="142">
        <v>710673.6</v>
      </c>
      <c r="L8" s="142">
        <v>569468.81999999995</v>
      </c>
      <c r="M8" s="142">
        <v>697182.45</v>
      </c>
      <c r="N8" s="142">
        <v>630700.9</v>
      </c>
      <c r="O8" s="142">
        <v>619120.21</v>
      </c>
      <c r="P8" s="142">
        <v>631112.36</v>
      </c>
      <c r="Q8" s="142">
        <v>674930.64</v>
      </c>
      <c r="R8" s="142">
        <v>583035.67000000004</v>
      </c>
      <c r="S8" s="142">
        <v>627840.15</v>
      </c>
      <c r="T8" s="142">
        <v>695254.46</v>
      </c>
      <c r="U8" s="142">
        <v>672369.3</v>
      </c>
      <c r="V8" s="142">
        <v>688120.36</v>
      </c>
      <c r="W8" s="142">
        <v>774424.99</v>
      </c>
      <c r="X8" s="142">
        <v>696719.59</v>
      </c>
      <c r="Y8" s="142">
        <v>675267.5</v>
      </c>
      <c r="Z8" s="142">
        <v>641675.18999999994</v>
      </c>
      <c r="AA8" s="142">
        <v>491767.06</v>
      </c>
      <c r="AB8" s="142">
        <v>474757.95</v>
      </c>
      <c r="AC8" s="142">
        <v>397232.67</v>
      </c>
      <c r="AD8" s="142">
        <v>357392.16</v>
      </c>
      <c r="AE8" s="142">
        <v>379172.85</v>
      </c>
      <c r="AF8" s="142">
        <v>444633.59</v>
      </c>
      <c r="AG8" s="142">
        <v>475217.7</v>
      </c>
      <c r="AH8" s="142">
        <v>642196.35</v>
      </c>
      <c r="AI8" s="142">
        <v>616524.68000000005</v>
      </c>
      <c r="AJ8" s="142">
        <v>599444.13</v>
      </c>
    </row>
    <row r="9" spans="1:36" x14ac:dyDescent="0.35">
      <c r="A9" s="73" t="s">
        <v>78</v>
      </c>
      <c r="B9" s="72">
        <f>SUM(B5:B8)</f>
        <v>810754.56000000006</v>
      </c>
      <c r="C9" s="72">
        <f t="shared" ref="C9:J9" si="17">SUM(C5:C8)</f>
        <v>638892.59000000008</v>
      </c>
      <c r="D9" s="72">
        <f t="shared" si="17"/>
        <v>621567.52</v>
      </c>
      <c r="E9" s="72">
        <f t="shared" si="17"/>
        <v>727285.14</v>
      </c>
      <c r="F9" s="72">
        <f t="shared" si="17"/>
        <v>738987.44</v>
      </c>
      <c r="G9" s="72">
        <f t="shared" si="17"/>
        <v>764753.6</v>
      </c>
      <c r="H9" s="72">
        <f t="shared" si="17"/>
        <v>798039.58000000007</v>
      </c>
      <c r="I9" s="72">
        <f t="shared" si="17"/>
        <v>892769.97</v>
      </c>
      <c r="J9" s="72">
        <f t="shared" si="17"/>
        <v>841318.1</v>
      </c>
      <c r="K9" s="72">
        <f t="shared" ref="K9:AJ9" si="18">SUM(K5:K8)</f>
        <v>856968.48</v>
      </c>
      <c r="L9" s="72">
        <f t="shared" si="18"/>
        <v>683611.1399999999</v>
      </c>
      <c r="M9" s="72">
        <f t="shared" si="18"/>
        <v>836152.64999999991</v>
      </c>
      <c r="N9" s="72">
        <f t="shared" si="18"/>
        <v>754034.99</v>
      </c>
      <c r="O9" s="72">
        <f t="shared" si="18"/>
        <v>742981.3899999999</v>
      </c>
      <c r="P9" s="72">
        <f t="shared" si="18"/>
        <v>755100.26</v>
      </c>
      <c r="Q9" s="72">
        <f t="shared" si="18"/>
        <v>814430.65</v>
      </c>
      <c r="R9" s="72">
        <f t="shared" si="18"/>
        <v>703306.49</v>
      </c>
      <c r="S9" s="72">
        <f t="shared" si="18"/>
        <v>749103.04</v>
      </c>
      <c r="T9" s="72">
        <f t="shared" si="18"/>
        <v>831920.6399999999</v>
      </c>
      <c r="U9" s="72">
        <f t="shared" si="18"/>
        <v>809583.39</v>
      </c>
      <c r="V9" s="72">
        <f t="shared" si="18"/>
        <v>832349.05</v>
      </c>
      <c r="W9" s="72">
        <f t="shared" si="18"/>
        <v>932735.9</v>
      </c>
      <c r="X9" s="72">
        <f t="shared" si="18"/>
        <v>831058.59</v>
      </c>
      <c r="Y9" s="72">
        <f t="shared" si="18"/>
        <v>816964.13</v>
      </c>
      <c r="Z9" s="72">
        <f t="shared" si="18"/>
        <v>785601.92999999993</v>
      </c>
      <c r="AA9" s="72">
        <f t="shared" si="18"/>
        <v>622228.81999999995</v>
      </c>
      <c r="AB9" s="72">
        <f t="shared" si="18"/>
        <v>606470.18999999994</v>
      </c>
      <c r="AC9" s="72">
        <f t="shared" si="18"/>
        <v>495915.07999999996</v>
      </c>
      <c r="AD9" s="72">
        <f t="shared" si="18"/>
        <v>461158.94999999995</v>
      </c>
      <c r="AE9" s="72">
        <f t="shared" si="18"/>
        <v>482182.81999999995</v>
      </c>
      <c r="AF9" s="72">
        <f t="shared" si="18"/>
        <v>547266.26</v>
      </c>
      <c r="AG9" s="72">
        <f t="shared" si="18"/>
        <v>587972.77</v>
      </c>
      <c r="AH9" s="72">
        <f t="shared" si="18"/>
        <v>784780.64</v>
      </c>
      <c r="AI9" s="72">
        <f t="shared" si="18"/>
        <v>759935.25</v>
      </c>
      <c r="AJ9" s="72">
        <f t="shared" si="18"/>
        <v>735888.81</v>
      </c>
    </row>
    <row r="10" spans="1:36" x14ac:dyDescent="0.35">
      <c r="M10" s="72"/>
      <c r="N10" s="72"/>
      <c r="O10" s="72"/>
      <c r="P10" s="72"/>
      <c r="Q10" s="72"/>
    </row>
    <row r="11" spans="1:36" x14ac:dyDescent="0.35">
      <c r="B11" s="74"/>
      <c r="M11" s="72"/>
      <c r="N11" s="72"/>
      <c r="O11" s="72"/>
      <c r="P11" s="72"/>
      <c r="Q11" s="72"/>
    </row>
    <row r="12" spans="1:36" x14ac:dyDescent="0.35">
      <c r="B12" t="s">
        <v>79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36" x14ac:dyDescent="0.35">
      <c r="B13" t="s">
        <v>80</v>
      </c>
    </row>
  </sheetData>
  <mergeCells count="1">
    <mergeCell ref="A1:Q1"/>
  </mergeCells>
  <pageMargins left="0.7" right="0.7" top="0.75" bottom="0.75" header="0.3" footer="0.3"/>
  <pageSetup orientation="landscape" r:id="rId1"/>
  <headerFooter>
    <oddHeader>&amp;L2023 TAP Reconcilable Rider Reports and Projection Model: &amp;A
January 2022 - November 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277C06-C943-4D1C-875D-78F1A6241D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BDD9C0-E7D1-40FC-9EA5-069659816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1F7747-2844-4069-8731-5E576756C2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TRR_Projections!Print_Area</vt:lpstr>
      <vt:lpstr>TRR_Summary!Print_Area</vt:lpstr>
      <vt:lpstr>DR_1!Print_Titles</vt:lpstr>
      <vt:lpstr>DR_2!Print_Titles</vt:lpstr>
      <vt:lpstr>'DR_3A Participants'!Print_Titles</vt:lpstr>
      <vt:lpstr>DR_4!Print_Titles</vt:lpstr>
      <vt:lpstr>TRR_Projections!Print_Titles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Robert Ballenger</cp:lastModifiedBy>
  <cp:revision/>
  <dcterms:created xsi:type="dcterms:W3CDTF">2017-11-15T18:58:43Z</dcterms:created>
  <dcterms:modified xsi:type="dcterms:W3CDTF">2023-03-28T19:28:49Z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