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10" windowWidth="16340" windowHeight="10850" activeTab="0"/>
  </bookViews>
  <sheets>
    <sheet name="SWCOS" sheetId="1" r:id="rId1"/>
    <sheet name="SWCOS non res credits" sheetId="2" r:id="rId2"/>
    <sheet name="SWCOS non res SG" sheetId="3" r:id="rId3"/>
    <sheet name="SWCOS non res cre SG" sheetId="4" r:id="rId4"/>
  </sheets>
  <definedNames>
    <definedName name="_xlfn.COUNTIFS" hidden="1">#NAME?</definedName>
    <definedName name="_xlfn.STDEV.P" hidden="1">#NAME?</definedName>
  </definedNames>
  <calcPr fullCalcOnLoad="1"/>
</workbook>
</file>

<file path=xl/comments3.xml><?xml version="1.0" encoding="utf-8"?>
<comments xmlns="http://schemas.openxmlformats.org/spreadsheetml/2006/main">
  <authors>
    <author>Kester, Megan M</author>
  </authors>
  <commentList>
    <comment ref="C113" authorId="0">
      <text>
        <r>
          <rPr>
            <b/>
            <sz val="9"/>
            <rFont val="Tahoma"/>
            <family val="2"/>
          </rPr>
          <t>Kester, Megan M:</t>
        </r>
        <r>
          <rPr>
            <sz val="9"/>
            <rFont val="Tahoma"/>
            <family val="2"/>
          </rPr>
          <t xml:space="preserve">
Credits removed to calculate rates with just SMIP/GARP</t>
        </r>
      </text>
    </comment>
  </commentList>
</comments>
</file>

<file path=xl/sharedStrings.xml><?xml version="1.0" encoding="utf-8"?>
<sst xmlns="http://schemas.openxmlformats.org/spreadsheetml/2006/main" count="1034" uniqueCount="185">
  <si>
    <t>Line No.</t>
  </si>
  <si>
    <t>Total</t>
  </si>
  <si>
    <t xml:space="preserve">FROM SCOS </t>
  </si>
  <si>
    <t>21_23_ver2</t>
  </si>
  <si>
    <t>SWCOS-1: PROJECTION OF BILLABLE PARCELS; IMPERVIOUS AREA; AND GROSS AREA</t>
  </si>
  <si>
    <t>Customer Class</t>
  </si>
  <si>
    <t>FY 2022</t>
  </si>
  <si>
    <t>FY 2023</t>
  </si>
  <si>
    <t xml:space="preserve"> NUMBER OF BILLABLE PARCELS (PROJECTED)</t>
  </si>
  <si>
    <t>Residential</t>
  </si>
  <si>
    <t>Non-Residential</t>
  </si>
  <si>
    <t>Condominium</t>
  </si>
  <si>
    <t>Total Billable Parcels</t>
  </si>
  <si>
    <t>BILLABLE IMPERVIOUS AREA (IA) (PROJECTED - 1,000 sf)</t>
  </si>
  <si>
    <t>Total Billable Impervious Area</t>
  </si>
  <si>
    <t xml:space="preserve"> BILLABLE GROSS AREA (GA) (PROJECTED - 1,000 sf)</t>
  </si>
  <si>
    <t>Total Billable Gross Area</t>
  </si>
  <si>
    <t>SWCOS-2:   STORMWATER COSTS</t>
  </si>
  <si>
    <t>(in thousands of dollars)</t>
  </si>
  <si>
    <t>TEST YEAR FY 2023</t>
  </si>
  <si>
    <t>Collection System</t>
  </si>
  <si>
    <t>Treatment</t>
  </si>
  <si>
    <t>Customer</t>
  </si>
  <si>
    <t>Industrial Waste</t>
  </si>
  <si>
    <t>Component</t>
  </si>
  <si>
    <t>Allocated Cost of Service</t>
  </si>
  <si>
    <t>Pumping Volume</t>
  </si>
  <si>
    <t>Pumping Capacity</t>
  </si>
  <si>
    <t xml:space="preserve"> Sewer Capacity</t>
  </si>
  <si>
    <t>Inlet Cleaning</t>
  </si>
  <si>
    <t>Volume</t>
  </si>
  <si>
    <t>Capacity</t>
  </si>
  <si>
    <t>TSS</t>
  </si>
  <si>
    <t>BOD</t>
  </si>
  <si>
    <t>Meter</t>
  </si>
  <si>
    <t>Billing &amp; Collection</t>
  </si>
  <si>
    <t>Stormwater Direct</t>
  </si>
  <si>
    <t>Surcharge</t>
  </si>
  <si>
    <t>Meters</t>
  </si>
  <si>
    <t>Direct Allocations</t>
  </si>
  <si>
    <t>Plant Investment - $1,000</t>
  </si>
  <si>
    <t>Operations Net Revenue Requirement - $1,000</t>
  </si>
  <si>
    <t>Return on Investment - $1,000</t>
  </si>
  <si>
    <t>Depreciation</t>
  </si>
  <si>
    <t>Total Costs</t>
  </si>
  <si>
    <t>Allocation of I/I</t>
  </si>
  <si>
    <t>Allocated I/I</t>
  </si>
  <si>
    <t>TABLE SW-13:   SUMMARY OF STORMWATER COSTS</t>
  </si>
  <si>
    <t>Cost Component</t>
  </si>
  <si>
    <t>Billing &amp; Collection Costs</t>
  </si>
  <si>
    <t>Impervious Area and Gross Area Costs
(Excluding CAP Costs)</t>
  </si>
  <si>
    <t>TABLE SW-13A:   STORMWATER RATE DESIGN INPUTS</t>
  </si>
  <si>
    <t>Input Values</t>
  </si>
  <si>
    <t>GA</t>
  </si>
  <si>
    <t>IA</t>
  </si>
  <si>
    <t>IA/GA Cost Allocation</t>
  </si>
  <si>
    <t>Stormwater Unit of Measure (sf)</t>
  </si>
  <si>
    <t>Mean Residential  (sf)</t>
  </si>
  <si>
    <t>Number of Months</t>
  </si>
  <si>
    <t>Conversion Factor</t>
  </si>
  <si>
    <t xml:space="preserve">TABLE SW-13B:   SUMMARY OF ESTIMATED STORMWATER </t>
  </si>
  <si>
    <t>CUSTOMER ASSISTANCE PROGRAM (CAP) COSTS</t>
  </si>
  <si>
    <t>Line 
No.</t>
  </si>
  <si>
    <t>DESCRIPTION</t>
  </si>
  <si>
    <t xml:space="preserve">GA </t>
  </si>
  <si>
    <t xml:space="preserve"> IA </t>
  </si>
  <si>
    <t>Non-residential Stormwater CAP</t>
  </si>
  <si>
    <t xml:space="preserve">TABLE SW-14:  ESTIMATE OF GROSS AREA (GA) AND </t>
  </si>
  <si>
    <t xml:space="preserve"> IMPERVIOUS AREA (IA) UNIT COSTS </t>
  </si>
  <si>
    <t>ADJUSTED FOR CUSTOMER ASSISTANCE PROGRAM (CAP)</t>
  </si>
  <si>
    <t xml:space="preserve"> </t>
  </si>
  <si>
    <t xml:space="preserve">Annual Cost of Service ($ 1000) from GA &amp; IA (Excluding CAP) </t>
  </si>
  <si>
    <t>Stormwater Units of Service (500 Square Feet)</t>
  </si>
  <si>
    <t>System Annual Unit Cost ($/500 Square Feet)</t>
  </si>
  <si>
    <t>System Monthly Unit Cost ($/500 Square Feet)</t>
  </si>
  <si>
    <t>RESIDENTIAL</t>
  </si>
  <si>
    <t>Residential Cost of Service (a)</t>
  </si>
  <si>
    <t>NON-RESIDENTIAL</t>
  </si>
  <si>
    <t>Initial Non-Residential Cost of Service (b)</t>
  </si>
  <si>
    <t>Adjustment for CAP (c)</t>
  </si>
  <si>
    <t>Adjusted Non-Residential Cost of Service</t>
  </si>
  <si>
    <t>Total GA &amp; IA Cost of Service</t>
  </si>
  <si>
    <t>(a) Calculated as Residential GA and IA square footage times the GA and IA unit cost.</t>
  </si>
  <si>
    <t>(b) Total GA and IA Cost of Service LESS Residential cost of service.</t>
  </si>
  <si>
    <t>(c) To recover Non-residential CAP Loss from the Non-residential stormwater customer class.</t>
  </si>
  <si>
    <t>TABLE SW-16: GA AND IA COST OF SERVICE RATES</t>
  </si>
  <si>
    <t>PRIOR TO DISCOUNT AND LAG FACTOR ADJUSTMENTS</t>
  </si>
  <si>
    <t>Residential Monthly GA &amp; IA Charge (a)</t>
  </si>
  <si>
    <t>Non-Residential Monthly GA &amp; IA Unit Cost (Adjusted for CAP)</t>
  </si>
  <si>
    <t>Impact of CAP on Non-Residential  GA &amp; IA  Rate</t>
  </si>
  <si>
    <t>(a) Calculated based on Residential Mean GA (2,110 sf) and Mean IA (1,200 sf).</t>
  </si>
  <si>
    <t>TABLE SW-17:  STORMWATER BILLING and COLLECTION UNIT COSTS</t>
  </si>
  <si>
    <t>Description</t>
  </si>
  <si>
    <t>Units</t>
  </si>
  <si>
    <t>Stormwater Billing &amp; Collection Annual Revenue Requirements</t>
  </si>
  <si>
    <t>$</t>
  </si>
  <si>
    <t>Monthly Billable Accounts: Residential</t>
  </si>
  <si>
    <t># Accounts</t>
  </si>
  <si>
    <t>Non-Residential Cost Weighting Factor (a)</t>
  </si>
  <si>
    <t>Weighted Monthly Billable Accounts: Non-Residential</t>
  </si>
  <si>
    <t>Total Weighted Monthly Billable Accounts (Line 2+ Line 4)</t>
  </si>
  <si>
    <t>Annual Billable Accounts: Residential (Line 2 x 12)</t>
  </si>
  <si>
    <t>Weighted Annual Billable Accounts: Non-Residential (Line 4 x 12)</t>
  </si>
  <si>
    <t>Total Weighted Annual Billable Accounts (Line 6 + Line 7)</t>
  </si>
  <si>
    <t>Residential Billing &amp; Collection Unit Cost per Billing Cycle</t>
  </si>
  <si>
    <t>$/Unit</t>
  </si>
  <si>
    <t xml:space="preserve">Non-Residential Billing &amp; Collection Unit Cost per Billing Cycle (Line 9 x Line 3) </t>
  </si>
  <si>
    <t>(a) A higher weighting factor is assigned to non-residential due to the additional time and effort needed to address</t>
  </si>
  <si>
    <t xml:space="preserve">      billing issues and parcel data issues for non-residential class, as the charges are individually calculated for each parcel.</t>
  </si>
  <si>
    <t>TABLE SW-18:   STORMWATER ADJUSTED COSTS OF SERVICE (AFTER DISCOUNTS)</t>
  </si>
  <si>
    <t>Recovery of Discounts (b)</t>
  </si>
  <si>
    <t>Allocated Cost of Service (a)</t>
  </si>
  <si>
    <t>Discounts</t>
  </si>
  <si>
    <t>Adjusted  Cost of Service with Discounts</t>
  </si>
  <si>
    <t>All</t>
  </si>
  <si>
    <t>Adjusted  Cost of Service</t>
  </si>
  <si>
    <t>Discount Recovery Factor</t>
  </si>
  <si>
    <t>Non-Discount</t>
  </si>
  <si>
    <t>Discount - Non-PHA</t>
  </si>
  <si>
    <t>Discount - PHA</t>
  </si>
  <si>
    <t>xxxxxxxxxx</t>
  </si>
  <si>
    <t>Condominiums</t>
  </si>
  <si>
    <t>Notes:</t>
  </si>
  <si>
    <t>(a) Non-Residential Customer cost of service includes the cost of CAP.</t>
  </si>
  <si>
    <t>(b) Reflects current policy of recovering discounts from all customer classes.</t>
  </si>
  <si>
    <t>TABLE SW-19:   STORMWATER FINAL COST OF SERVICE RATES</t>
  </si>
  <si>
    <t>Service Type</t>
  </si>
  <si>
    <t>Cost of Service Rate</t>
  </si>
  <si>
    <t>Lag Factor Adjustment</t>
  </si>
  <si>
    <t>Proposed Rate</t>
  </si>
  <si>
    <t>Billing &amp; Collection Charge</t>
  </si>
  <si>
    <t>IA/GA Charge</t>
  </si>
  <si>
    <t xml:space="preserve">  IA Charge</t>
  </si>
  <si>
    <t xml:space="preserve">  GA Charge</t>
  </si>
  <si>
    <t>Non-Residential and Condominium have the same Billing &amp; Collection and GA/IA rate</t>
  </si>
  <si>
    <t>TABLE SW-19A</t>
  </si>
  <si>
    <t>STORMWATER: PROPOSED RATES FOR RESIDENTIAL SERVICE</t>
  </si>
  <si>
    <t>FY 2023  
Monthly
Charge</t>
  </si>
  <si>
    <t>FY 2024  
Monthly
Charge</t>
  </si>
  <si>
    <t>FY 2025  
Monthly
Charge</t>
  </si>
  <si>
    <t>STORMWATER MANAGEMENT SERVICE CHARGE</t>
  </si>
  <si>
    <t>Charge Per Parcel</t>
  </si>
  <si>
    <t>BILLING AND COLLECTION CHARGE</t>
  </si>
  <si>
    <t>Charge Per Bill</t>
  </si>
  <si>
    <t>TABLE SW-19B</t>
  </si>
  <si>
    <t>STORMWATER: PROPOSED RATES FOR NON-RESIDENTIAL SERVICE</t>
  </si>
  <si>
    <t>Min Charge</t>
  </si>
  <si>
    <t>GA (per 500 sf)</t>
  </si>
  <si>
    <t>IA (per 500 sf)</t>
  </si>
  <si>
    <t>Credits (1,000 Sf)</t>
  </si>
  <si>
    <t>2a</t>
  </si>
  <si>
    <t>2b</t>
  </si>
  <si>
    <t>Credits (500 Square Feet)</t>
  </si>
  <si>
    <t>Initial Units of Service (500 Square Feet)</t>
  </si>
  <si>
    <t>Final Billable area after accounting for credits</t>
  </si>
  <si>
    <t>Initial area before award of credits</t>
  </si>
  <si>
    <t>SMIP/GARP Costs</t>
  </si>
  <si>
    <t xml:space="preserve">Notes: </t>
  </si>
  <si>
    <t>SMIP/GARP cost of $25 million allocated 60% to stormwater</t>
  </si>
  <si>
    <t>SMIP/GARP Costs ($1,000)</t>
  </si>
  <si>
    <t xml:space="preserve">Annual Cost of Service ($ 1000) from GA &amp; IA (Excluding CAP &amp; SMIP/GARP) </t>
  </si>
  <si>
    <t>Adjustment for SMIP/GARP (c)</t>
  </si>
  <si>
    <t>Impervious Area and Gross Area Costs (Excluding CAP &amp; SMIP/GARP Costs)</t>
  </si>
  <si>
    <t>(b) Total GA and IA Cost of Service (excluding CAP and SMIP/GARP) LESS Residential cost of service.</t>
  </si>
  <si>
    <t>TABLE SW-20</t>
  </si>
  <si>
    <t>STORMWATER: PROPOSED RATES FOR NON-RESIDENTIAL SERVICE COMPARISON</t>
  </si>
  <si>
    <t>Existing</t>
  </si>
  <si>
    <t>Credits allocated to Non-Res Only</t>
  </si>
  <si>
    <t>Credits and SMIP/GARP allocated to Non-Res Only</t>
  </si>
  <si>
    <t>Variance ($)</t>
  </si>
  <si>
    <t>Variance (%)</t>
  </si>
  <si>
    <t>Just SMIP/GARP allocated to Non-Res Only</t>
  </si>
  <si>
    <t>SERVICE ADJUSTED FOR CUSTOMER ASSISTANCE PROGRAM (CAP)</t>
  </si>
  <si>
    <t xml:space="preserve">TABLE SW-15:  ESTIMATE OF CUSTOMER CLASS GA AND IA COST OF </t>
  </si>
  <si>
    <t xml:space="preserve">TABLE SW-17:  STORMWATER BILLING and </t>
  </si>
  <si>
    <t>TABLE SW-15:  ESTIMATE OF CUSTOMER CLASS GA AND IA COST OF</t>
  </si>
  <si>
    <r>
      <t>SERVICE</t>
    </r>
    <r>
      <rPr>
        <sz val="14"/>
        <color indexed="9"/>
        <rFont val="Arial"/>
        <family val="2"/>
      </rPr>
      <t xml:space="preserve"> </t>
    </r>
    <r>
      <rPr>
        <b/>
        <sz val="14"/>
        <color indexed="9"/>
        <rFont val="Arial"/>
        <family val="2"/>
      </rPr>
      <t>ADJUSTED FOR CUSTOMER ASSISTANCE PROGRAM (CAP)</t>
    </r>
  </si>
  <si>
    <t>COLLECTION UNIT COSTS</t>
  </si>
  <si>
    <t>STORMWATER COST OF SERVICE - SHIFT BOTH CREDITS AND SMIP/GARP</t>
  </si>
  <si>
    <t>STORMWATER COST OF SERVICE - SHIFT JUST SMIP/GARP</t>
  </si>
  <si>
    <t>STORMWATER COST OF SERVICE - SHIFT JUST CREDITS</t>
  </si>
  <si>
    <t>STORMWATER COST OF SERVICE - ADOPTED RATES</t>
  </si>
  <si>
    <t xml:space="preserve">Approximately 60% of $25 Million SMIP/GARP budget is allocated to Stormwater </t>
  </si>
  <si>
    <t>Note:  For preliminary rate estimation purposes, no adjustment to the distribution was made.</t>
  </si>
  <si>
    <t>For actual cost of service Table SW-18 would need to be revised to reflect updated units of service.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</si>
</sst>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00_);_(* \(#,##0.000\);_(* &quot;-&quot;??_);_(@_)"/>
    <numFmt numFmtId="168" formatCode="#,##0.000_);[Red]\(#,##0.000\)"/>
    <numFmt numFmtId="169" formatCode="#,##0.0"/>
    <numFmt numFmtId="170" formatCode="#,##0.0000_);[Red]\(#,##0.0000\)"/>
    <numFmt numFmtId="171" formatCode="_(* #,##0.00_);_(* \(#,##0.00\);_(* &quot;-&quot;_);_(@_)"/>
    <numFmt numFmtId="172" formatCode="_(* #,##0.000_);_(* \(#,##0.000\);_(* &quot;-&quot;_);_(@_)"/>
    <numFmt numFmtId="173" formatCode="_(* #,##0.000_);_(* \(#,##0.000\);_(* &quot;-&quot;???_);_(@_)"/>
  </numFmts>
  <fonts count="76">
    <font>
      <sz val="10"/>
      <name val="Arial"/>
      <family val="0"/>
    </font>
    <font>
      <sz val="12"/>
      <name val="Times New Roman"/>
      <family val="1"/>
    </font>
    <font>
      <b/>
      <sz val="14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Accounting"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9"/>
      <name val="Times New Roman"/>
      <family val="1"/>
    </font>
    <font>
      <sz val="10"/>
      <color indexed="30"/>
      <name val="Calibri"/>
      <family val="2"/>
    </font>
    <font>
      <sz val="11"/>
      <color indexed="14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9"/>
      <name val="Arial"/>
      <family val="2"/>
    </font>
    <font>
      <sz val="11"/>
      <color indexed="30"/>
      <name val="Calibri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Accounting"/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Arial"/>
      <family val="2"/>
    </font>
    <font>
      <sz val="10"/>
      <color theme="0"/>
      <name val="Times New Roman"/>
      <family val="1"/>
    </font>
    <font>
      <sz val="10"/>
      <color rgb="FF0070C0"/>
      <name val="Calibri"/>
      <family val="2"/>
    </font>
    <font>
      <b/>
      <sz val="11"/>
      <color rgb="FFFFFFFF"/>
      <name val="Calibri"/>
      <family val="2"/>
    </font>
    <font>
      <sz val="11"/>
      <color rgb="FFFF00FF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Arial"/>
      <family val="2"/>
    </font>
    <font>
      <sz val="11"/>
      <color rgb="FF0070C0"/>
      <name val="Calibri"/>
      <family val="2"/>
    </font>
    <font>
      <sz val="10"/>
      <color rgb="FFCC00FF"/>
      <name val="Arial"/>
      <family val="2"/>
    </font>
    <font>
      <sz val="10"/>
      <color rgb="FFC0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ck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ck">
        <color rgb="FFFFFFFF"/>
      </right>
      <top style="thick">
        <color rgb="FFFFFFFF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/>
      <bottom style="thin">
        <color theme="0"/>
      </bottom>
    </border>
    <border>
      <left/>
      <right/>
      <top style="thick">
        <color rgb="FFFFFFFF"/>
      </top>
      <bottom/>
    </border>
    <border>
      <left/>
      <right/>
      <top style="thick">
        <color theme="0"/>
      </top>
      <bottom/>
    </border>
  </borders>
  <cellStyleXfs count="6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37" fontId="4" fillId="0" borderId="0" applyFill="0" applyBorder="0" applyAlignment="0">
      <protection/>
    </xf>
    <xf numFmtId="0" fontId="1" fillId="0" borderId="0">
      <alignment/>
      <protection/>
    </xf>
    <xf numFmtId="38" fontId="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4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>
      <alignment horizontal="centerContinuous"/>
      <protection/>
    </xf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37" fontId="63" fillId="33" borderId="0" xfId="0" applyNumberFormat="1" applyFont="1" applyFill="1" applyAlignment="1">
      <alignment horizontal="centerContinuous"/>
    </xf>
    <xf numFmtId="164" fontId="48" fillId="33" borderId="0" xfId="59" applyNumberFormat="1" applyFont="1" applyFill="1" applyAlignment="1">
      <alignment horizontal="center"/>
      <protection/>
    </xf>
    <xf numFmtId="37" fontId="63" fillId="33" borderId="0" xfId="0" applyNumberFormat="1" applyFont="1" applyFill="1" applyAlignment="1">
      <alignment horizontal="centerContinuous" wrapText="1"/>
    </xf>
    <xf numFmtId="37" fontId="64" fillId="34" borderId="0" xfId="57" applyNumberFormat="1" applyFont="1" applyFill="1" applyAlignment="1">
      <alignment horizontal="center"/>
      <protection/>
    </xf>
    <xf numFmtId="37" fontId="64" fillId="34" borderId="0" xfId="57" applyNumberFormat="1" applyFont="1" applyFill="1" applyAlignment="1">
      <alignment horizontal="left"/>
      <protection/>
    </xf>
    <xf numFmtId="9" fontId="64" fillId="34" borderId="0" xfId="57" applyNumberFormat="1" applyFont="1" applyFill="1" applyAlignment="1">
      <alignment horizontal="center"/>
      <protection/>
    </xf>
    <xf numFmtId="37" fontId="32" fillId="35" borderId="10" xfId="0" applyNumberFormat="1" applyFont="1" applyFill="1" applyBorder="1" applyAlignment="1">
      <alignment horizontal="left" vertical="center"/>
    </xf>
    <xf numFmtId="37" fontId="32" fillId="35" borderId="11" xfId="5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3" fillId="0" borderId="0" xfId="55" applyFont="1" applyAlignment="1">
      <alignment horizontal="right"/>
      <protection/>
    </xf>
    <xf numFmtId="14" fontId="33" fillId="0" borderId="0" xfId="55" applyNumberFormat="1" applyFont="1" applyAlignment="1">
      <alignment horizontal="left"/>
      <protection/>
    </xf>
    <xf numFmtId="0" fontId="34" fillId="0" borderId="0" xfId="0" applyFont="1" applyFill="1" applyAlignment="1">
      <alignment/>
    </xf>
    <xf numFmtId="0" fontId="65" fillId="36" borderId="0" xfId="65" applyFont="1" applyFill="1">
      <alignment horizontal="centerContinuous"/>
      <protection/>
    </xf>
    <xf numFmtId="0" fontId="0" fillId="0" borderId="0" xfId="0" applyFill="1" applyAlignment="1">
      <alignment/>
    </xf>
    <xf numFmtId="0" fontId="1" fillId="33" borderId="0" xfId="59" applyFill="1">
      <alignment/>
      <protection/>
    </xf>
    <xf numFmtId="0" fontId="48" fillId="34" borderId="0" xfId="0" applyFont="1" applyFill="1" applyAlignment="1">
      <alignment horizontal="centerContinuous"/>
    </xf>
    <xf numFmtId="0" fontId="66" fillId="34" borderId="0" xfId="0" applyFont="1" applyFill="1" applyAlignment="1">
      <alignment horizontal="centerContinuous"/>
    </xf>
    <xf numFmtId="37" fontId="32" fillId="35" borderId="12" xfId="0" applyNumberFormat="1" applyFont="1" applyFill="1" applyBorder="1" applyAlignment="1">
      <alignment horizontal="center" vertical="center"/>
    </xf>
    <xf numFmtId="3" fontId="67" fillId="5" borderId="10" xfId="0" applyNumberFormat="1" applyFont="1" applyFill="1" applyBorder="1" applyAlignment="1">
      <alignment horizontal="right" vertical="center"/>
    </xf>
    <xf numFmtId="0" fontId="0" fillId="37" borderId="0" xfId="0" applyFill="1" applyAlignment="1">
      <alignment/>
    </xf>
    <xf numFmtId="3" fontId="0" fillId="37" borderId="0" xfId="0" applyNumberFormat="1" applyFill="1" applyAlignment="1">
      <alignment/>
    </xf>
    <xf numFmtId="0" fontId="0" fillId="0" borderId="0" xfId="0" applyAlignment="1">
      <alignment vertical="center"/>
    </xf>
    <xf numFmtId="3" fontId="32" fillId="35" borderId="10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0" fontId="1" fillId="0" borderId="0" xfId="59">
      <alignment/>
      <protection/>
    </xf>
    <xf numFmtId="0" fontId="63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Continuous"/>
    </xf>
    <xf numFmtId="37" fontId="63" fillId="33" borderId="13" xfId="0" applyNumberFormat="1" applyFont="1" applyFill="1" applyBorder="1" applyAlignment="1">
      <alignment horizontal="center" wrapText="1"/>
    </xf>
    <xf numFmtId="37" fontId="64" fillId="34" borderId="0" xfId="57" applyNumberFormat="1" applyFont="1" applyFill="1" applyAlignment="1">
      <alignment horizontal="left" indent="1"/>
      <protection/>
    </xf>
    <xf numFmtId="42" fontId="64" fillId="34" borderId="0" xfId="57" applyNumberFormat="1" applyFont="1" applyFill="1">
      <alignment/>
      <protection/>
    </xf>
    <xf numFmtId="42" fontId="32" fillId="35" borderId="10" xfId="0" applyNumberFormat="1" applyFont="1" applyFill="1" applyBorder="1" applyAlignment="1">
      <alignment horizontal="right" vertical="center"/>
    </xf>
    <xf numFmtId="42" fontId="67" fillId="5" borderId="10" xfId="0" applyNumberFormat="1" applyFont="1" applyFill="1" applyBorder="1" applyAlignment="1">
      <alignment horizontal="right" vertical="center"/>
    </xf>
    <xf numFmtId="41" fontId="32" fillId="35" borderId="10" xfId="0" applyNumberFormat="1" applyFont="1" applyFill="1" applyBorder="1" applyAlignment="1">
      <alignment horizontal="right" vertical="center"/>
    </xf>
    <xf numFmtId="41" fontId="67" fillId="5" borderId="10" xfId="0" applyNumberFormat="1" applyFont="1" applyFill="1" applyBorder="1" applyAlignment="1">
      <alignment horizontal="right" vertical="center"/>
    </xf>
    <xf numFmtId="37" fontId="32" fillId="38" borderId="14" xfId="55" applyNumberFormat="1" applyFont="1" applyFill="1" applyBorder="1" applyAlignment="1">
      <alignment horizontal="center"/>
      <protection/>
    </xf>
    <xf numFmtId="37" fontId="32" fillId="38" borderId="15" xfId="55" applyNumberFormat="1" applyFont="1" applyFill="1" applyBorder="1" applyAlignment="1">
      <alignment horizontal="left"/>
      <protection/>
    </xf>
    <xf numFmtId="41" fontId="32" fillId="38" borderId="16" xfId="55" applyNumberFormat="1" applyFont="1" applyFill="1" applyBorder="1">
      <alignment/>
      <protection/>
    </xf>
    <xf numFmtId="165" fontId="32" fillId="35" borderId="10" xfId="0" applyNumberFormat="1" applyFont="1" applyFill="1" applyBorder="1" applyAlignment="1">
      <alignment horizontal="right" vertical="center"/>
    </xf>
    <xf numFmtId="37" fontId="32" fillId="0" borderId="0" xfId="55" applyNumberFormat="1" applyFont="1" applyAlignment="1">
      <alignment horizontal="center"/>
      <protection/>
    </xf>
    <xf numFmtId="37" fontId="32" fillId="0" borderId="0" xfId="55" applyNumberFormat="1" applyFont="1" applyAlignment="1">
      <alignment horizontal="left" vertical="center" wrapText="1"/>
      <protection/>
    </xf>
    <xf numFmtId="41" fontId="32" fillId="0" borderId="0" xfId="55" applyNumberFormat="1" applyFont="1">
      <alignment/>
      <protection/>
    </xf>
    <xf numFmtId="165" fontId="67" fillId="5" borderId="10" xfId="0" applyNumberFormat="1" applyFont="1" applyFill="1" applyBorder="1" applyAlignment="1">
      <alignment horizontal="right" vertical="center"/>
    </xf>
    <xf numFmtId="43" fontId="67" fillId="5" borderId="10" xfId="0" applyNumberFormat="1" applyFont="1" applyFill="1" applyBorder="1" applyAlignment="1">
      <alignment horizontal="right" vertical="center"/>
    </xf>
    <xf numFmtId="37" fontId="68" fillId="38" borderId="17" xfId="58" applyFont="1" applyFill="1" applyBorder="1" applyAlignment="1">
      <alignment horizontal="center" vertical="center" wrapText="1"/>
      <protection/>
    </xf>
    <xf numFmtId="37" fontId="68" fillId="38" borderId="0" xfId="58" applyFont="1" applyFill="1" applyBorder="1" applyAlignment="1">
      <alignment horizontal="center" vertical="center" wrapText="1"/>
      <protection/>
    </xf>
    <xf numFmtId="166" fontId="32" fillId="35" borderId="14" xfId="57" applyNumberFormat="1" applyFont="1" applyFill="1" applyBorder="1" applyAlignment="1">
      <alignment vertical="center"/>
      <protection/>
    </xf>
    <xf numFmtId="37" fontId="63" fillId="33" borderId="0" xfId="0" applyNumberFormat="1" applyFont="1" applyFill="1" applyAlignment="1">
      <alignment horizontal="center" wrapText="1"/>
    </xf>
    <xf numFmtId="37" fontId="32" fillId="35" borderId="15" xfId="55" applyNumberFormat="1" applyFont="1" applyFill="1" applyBorder="1" applyAlignment="1">
      <alignment horizontal="left" vertical="center" wrapText="1"/>
      <protection/>
    </xf>
    <xf numFmtId="42" fontId="32" fillId="35" borderId="18" xfId="55" applyNumberFormat="1" applyFont="1" applyFill="1" applyBorder="1">
      <alignment/>
      <protection/>
    </xf>
    <xf numFmtId="166" fontId="32" fillId="35" borderId="10" xfId="0" applyNumberFormat="1" applyFont="1" applyFill="1" applyBorder="1" applyAlignment="1">
      <alignment horizontal="right" vertical="center"/>
    </xf>
    <xf numFmtId="37" fontId="32" fillId="35" borderId="15" xfId="55" applyNumberFormat="1" applyFont="1" applyFill="1" applyBorder="1" applyAlignment="1">
      <alignment horizontal="left"/>
      <protection/>
    </xf>
    <xf numFmtId="41" fontId="32" fillId="35" borderId="19" xfId="55" applyNumberFormat="1" applyFont="1" applyFill="1" applyBorder="1">
      <alignment/>
      <protection/>
    </xf>
    <xf numFmtId="0" fontId="3" fillId="0" borderId="0" xfId="0" applyFont="1" applyAlignment="1">
      <alignment/>
    </xf>
    <xf numFmtId="37" fontId="68" fillId="38" borderId="20" xfId="58" applyFont="1" applyFill="1" applyBorder="1" applyAlignment="1">
      <alignment horizontal="center" vertical="center" wrapText="1"/>
      <protection/>
    </xf>
    <xf numFmtId="37" fontId="68" fillId="38" borderId="21" xfId="58" applyFont="1" applyFill="1" applyBorder="1" applyAlignment="1">
      <alignment horizontal="center" vertical="center" wrapText="1"/>
      <protection/>
    </xf>
    <xf numFmtId="0" fontId="61" fillId="35" borderId="0" xfId="0" applyFont="1" applyFill="1" applyAlignment="1">
      <alignment horizontal="center"/>
    </xf>
    <xf numFmtId="9" fontId="67" fillId="5" borderId="0" xfId="63" applyFont="1" applyFill="1" applyAlignment="1">
      <alignment/>
    </xf>
    <xf numFmtId="0" fontId="67" fillId="5" borderId="0" xfId="0" applyFont="1" applyFill="1" applyAlignment="1">
      <alignment horizontal="right"/>
    </xf>
    <xf numFmtId="41" fontId="67" fillId="5" borderId="0" xfId="0" applyNumberFormat="1" applyFont="1" applyFill="1" applyAlignment="1">
      <alignment horizontal="right"/>
    </xf>
    <xf numFmtId="37" fontId="32" fillId="5" borderId="11" xfId="55" applyNumberFormat="1" applyFont="1" applyFill="1" applyBorder="1" applyAlignment="1">
      <alignment horizontal="center"/>
      <protection/>
    </xf>
    <xf numFmtId="166" fontId="67" fillId="5" borderId="10" xfId="0" applyNumberFormat="1" applyFont="1" applyFill="1" applyBorder="1" applyAlignment="1">
      <alignment horizontal="right" vertical="center"/>
    </xf>
    <xf numFmtId="37" fontId="48" fillId="33" borderId="0" xfId="0" applyNumberFormat="1" applyFont="1" applyFill="1" applyAlignment="1">
      <alignment horizontal="centerContinuous"/>
    </xf>
    <xf numFmtId="37" fontId="32" fillId="35" borderId="15" xfId="55" applyNumberFormat="1" applyFont="1" applyFill="1" applyBorder="1" applyAlignment="1">
      <alignment horizontal="left" wrapText="1"/>
      <protection/>
    </xf>
    <xf numFmtId="43" fontId="32" fillId="35" borderId="10" xfId="0" applyNumberFormat="1" applyFont="1" applyFill="1" applyBorder="1" applyAlignment="1">
      <alignment horizontal="right" vertical="center"/>
    </xf>
    <xf numFmtId="167" fontId="32" fillId="35" borderId="10" xfId="0" applyNumberFormat="1" applyFont="1" applyFill="1" applyBorder="1" applyAlignment="1">
      <alignment horizontal="right" vertical="center"/>
    </xf>
    <xf numFmtId="44" fontId="32" fillId="35" borderId="10" xfId="0" applyNumberFormat="1" applyFont="1" applyFill="1" applyBorder="1" applyAlignment="1">
      <alignment horizontal="right" vertical="center"/>
    </xf>
    <xf numFmtId="0" fontId="0" fillId="38" borderId="0" xfId="0" applyFont="1" applyFill="1" applyAlignment="1">
      <alignment/>
    </xf>
    <xf numFmtId="0" fontId="69" fillId="0" borderId="0" xfId="0" applyFont="1" applyAlignment="1">
      <alignment/>
    </xf>
    <xf numFmtId="42" fontId="69" fillId="0" borderId="0" xfId="0" applyNumberFormat="1" applyFont="1" applyAlignment="1">
      <alignment/>
    </xf>
    <xf numFmtId="0" fontId="32" fillId="0" borderId="0" xfId="0" applyFont="1" applyAlignment="1">
      <alignment/>
    </xf>
    <xf numFmtId="168" fontId="66" fillId="0" borderId="0" xfId="0" applyNumberFormat="1" applyFont="1" applyAlignment="1">
      <alignment/>
    </xf>
    <xf numFmtId="0" fontId="70" fillId="0" borderId="0" xfId="65" applyFont="1">
      <alignment horizontal="centerContinuous"/>
      <protection/>
    </xf>
    <xf numFmtId="37" fontId="32" fillId="35" borderId="12" xfId="0" applyNumberFormat="1" applyFont="1" applyFill="1" applyBorder="1" applyAlignment="1">
      <alignment horizontal="left" vertical="center"/>
    </xf>
    <xf numFmtId="37" fontId="32" fillId="35" borderId="10" xfId="0" applyNumberFormat="1" applyFont="1" applyFill="1" applyBorder="1" applyAlignment="1">
      <alignment horizontal="center" vertical="center"/>
    </xf>
    <xf numFmtId="44" fontId="32" fillId="35" borderId="10" xfId="0" applyNumberFormat="1" applyFont="1" applyFill="1" applyBorder="1" applyAlignment="1">
      <alignment horizontal="center" vertical="center"/>
    </xf>
    <xf numFmtId="37" fontId="32" fillId="35" borderId="10" xfId="55" applyNumberFormat="1" applyFont="1" applyFill="1" applyBorder="1" applyAlignment="1">
      <alignment horizontal="left" vertical="center"/>
      <protection/>
    </xf>
    <xf numFmtId="37" fontId="32" fillId="35" borderId="16" xfId="55" applyNumberFormat="1" applyFont="1" applyFill="1" applyBorder="1" applyAlignment="1">
      <alignment horizontal="left" vertical="center" wrapText="1"/>
      <protection/>
    </xf>
    <xf numFmtId="3" fontId="32" fillId="35" borderId="10" xfId="0" applyNumberFormat="1" applyFont="1" applyFill="1" applyBorder="1" applyAlignment="1">
      <alignment horizontal="center" vertical="center"/>
    </xf>
    <xf numFmtId="37" fontId="32" fillId="35" borderId="10" xfId="55" applyNumberFormat="1" applyFont="1" applyFill="1" applyBorder="1" applyAlignment="1">
      <alignment horizontal="left"/>
      <protection/>
    </xf>
    <xf numFmtId="37" fontId="32" fillId="35" borderId="16" xfId="55" applyNumberFormat="1" applyFont="1" applyFill="1" applyBorder="1" applyAlignment="1">
      <alignment horizontal="left" wrapText="1"/>
      <protection/>
    </xf>
    <xf numFmtId="169" fontId="32" fillId="35" borderId="10" xfId="0" applyNumberFormat="1" applyFont="1" applyFill="1" applyBorder="1" applyAlignment="1">
      <alignment horizontal="center" vertical="center"/>
    </xf>
    <xf numFmtId="169" fontId="67" fillId="5" borderId="10" xfId="0" applyNumberFormat="1" applyFont="1" applyFill="1" applyBorder="1" applyAlignment="1">
      <alignment horizontal="right" vertical="center"/>
    </xf>
    <xf numFmtId="38" fontId="39" fillId="35" borderId="0" xfId="60" applyFont="1" applyFill="1" applyAlignment="1">
      <alignment horizontal="left" vertical="center"/>
      <protection/>
    </xf>
    <xf numFmtId="4" fontId="32" fillId="35" borderId="10" xfId="0" applyNumberFormat="1" applyFont="1" applyFill="1" applyBorder="1" applyAlignment="1">
      <alignment horizontal="right" vertical="center"/>
    </xf>
    <xf numFmtId="38" fontId="39" fillId="35" borderId="0" xfId="60" applyFont="1" applyFill="1" applyAlignment="1">
      <alignment horizontal="centerContinuous" vertical="center" wrapText="1"/>
      <protection/>
    </xf>
    <xf numFmtId="38" fontId="39" fillId="0" borderId="0" xfId="60" applyFont="1" applyAlignment="1">
      <alignment horizontal="center" vertical="center" wrapText="1"/>
      <protection/>
    </xf>
    <xf numFmtId="0" fontId="39" fillId="0" borderId="0" xfId="60" applyNumberFormat="1" applyFont="1" applyAlignment="1">
      <alignment horizontal="left" vertical="center"/>
      <protection/>
    </xf>
    <xf numFmtId="38" fontId="39" fillId="0" borderId="0" xfId="60" applyFont="1" applyAlignment="1">
      <alignment horizontal="left" vertical="center" wrapText="1"/>
      <protection/>
    </xf>
    <xf numFmtId="44" fontId="39" fillId="0" borderId="0" xfId="43" applyFont="1" applyFill="1" applyBorder="1" applyAlignment="1">
      <alignment horizontal="left" vertical="center" wrapText="1"/>
    </xf>
    <xf numFmtId="44" fontId="0" fillId="0" borderId="0" xfId="0" applyNumberFormat="1" applyAlignment="1">
      <alignment/>
    </xf>
    <xf numFmtId="0" fontId="70" fillId="33" borderId="0" xfId="65" applyFont="1" applyFill="1">
      <alignment horizontal="centerContinuous"/>
      <protection/>
    </xf>
    <xf numFmtId="0" fontId="48" fillId="33" borderId="0" xfId="0" applyFont="1" applyFill="1" applyAlignment="1">
      <alignment horizontal="centerContinuous"/>
    </xf>
    <xf numFmtId="41" fontId="48" fillId="34" borderId="0" xfId="0" applyNumberFormat="1" applyFont="1" applyFill="1" applyAlignment="1">
      <alignment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37" fontId="32" fillId="39" borderId="12" xfId="0" applyNumberFormat="1" applyFont="1" applyFill="1" applyBorder="1" applyAlignment="1">
      <alignment horizontal="center" vertical="center"/>
    </xf>
    <xf numFmtId="37" fontId="32" fillId="39" borderId="10" xfId="0" applyNumberFormat="1" applyFont="1" applyFill="1" applyBorder="1" applyAlignment="1">
      <alignment horizontal="left" vertical="center"/>
    </xf>
    <xf numFmtId="165" fontId="32" fillId="39" borderId="10" xfId="0" applyNumberFormat="1" applyFont="1" applyFill="1" applyBorder="1" applyAlignment="1">
      <alignment horizontal="right" vertical="center"/>
    </xf>
    <xf numFmtId="43" fontId="0" fillId="0" borderId="0" xfId="0" applyNumberFormat="1" applyAlignment="1">
      <alignment horizontal="right"/>
    </xf>
    <xf numFmtId="37" fontId="32" fillId="40" borderId="12" xfId="0" applyNumberFormat="1" applyFont="1" applyFill="1" applyBorder="1" applyAlignment="1">
      <alignment horizontal="center" vertical="center"/>
    </xf>
    <xf numFmtId="37" fontId="32" fillId="40" borderId="10" xfId="0" applyNumberFormat="1" applyFont="1" applyFill="1" applyBorder="1" applyAlignment="1">
      <alignment horizontal="left" vertical="center"/>
    </xf>
    <xf numFmtId="165" fontId="32" fillId="40" borderId="10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vertical="top"/>
    </xf>
    <xf numFmtId="0" fontId="32" fillId="0" borderId="0" xfId="0" applyFont="1" applyAlignment="1" quotePrefix="1">
      <alignment/>
    </xf>
    <xf numFmtId="170" fontId="0" fillId="0" borderId="0" xfId="0" applyNumberFormat="1" applyAlignment="1">
      <alignment/>
    </xf>
    <xf numFmtId="43" fontId="32" fillId="35" borderId="16" xfId="0" applyNumberFormat="1" applyFont="1" applyFill="1" applyBorder="1" applyAlignment="1">
      <alignment horizontal="right" vertical="center"/>
    </xf>
    <xf numFmtId="167" fontId="32" fillId="35" borderId="16" xfId="0" applyNumberFormat="1" applyFont="1" applyFill="1" applyBorder="1" applyAlignment="1">
      <alignment horizontal="right" vertical="center"/>
    </xf>
    <xf numFmtId="0" fontId="71" fillId="36" borderId="0" xfId="65" applyFont="1" applyFill="1">
      <alignment horizontal="centerContinuous"/>
      <protection/>
    </xf>
    <xf numFmtId="37" fontId="32" fillId="35" borderId="15" xfId="55" applyNumberFormat="1" applyFont="1" applyFill="1" applyBorder="1" applyAlignment="1">
      <alignment horizontal="left" indent="2"/>
      <protection/>
    </xf>
    <xf numFmtId="37" fontId="32" fillId="0" borderId="11" xfId="55" applyNumberFormat="1" applyFont="1" applyBorder="1" applyAlignment="1">
      <alignment horizontal="center"/>
      <protection/>
    </xf>
    <xf numFmtId="37" fontId="32" fillId="0" borderId="15" xfId="55" applyNumberFormat="1" applyFont="1" applyBorder="1" applyAlignment="1">
      <alignment horizontal="left" indent="2"/>
      <protection/>
    </xf>
    <xf numFmtId="171" fontId="32" fillId="0" borderId="14" xfId="55" applyNumberFormat="1" applyFont="1" applyBorder="1">
      <alignment/>
      <protection/>
    </xf>
    <xf numFmtId="172" fontId="32" fillId="0" borderId="16" xfId="55" applyNumberFormat="1" applyFont="1" applyBorder="1">
      <alignment/>
      <protection/>
    </xf>
    <xf numFmtId="40" fontId="32" fillId="0" borderId="0" xfId="0" applyNumberFormat="1" applyFont="1" applyAlignment="1" quotePrefix="1">
      <alignment/>
    </xf>
    <xf numFmtId="165" fontId="32" fillId="0" borderId="10" xfId="0" applyNumberFormat="1" applyFont="1" applyFill="1" applyBorder="1" applyAlignment="1">
      <alignment horizontal="right" vertical="center"/>
    </xf>
    <xf numFmtId="4" fontId="72" fillId="5" borderId="0" xfId="0" applyNumberFormat="1" applyFont="1" applyFill="1" applyAlignment="1">
      <alignment/>
    </xf>
    <xf numFmtId="166" fontId="3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73" fillId="0" borderId="0" xfId="0" applyNumberFormat="1" applyFont="1" applyAlignment="1">
      <alignment/>
    </xf>
    <xf numFmtId="0" fontId="65" fillId="36" borderId="0" xfId="65" applyFont="1" applyFill="1" applyAlignment="1">
      <alignment horizontal="centerContinuous" wrapText="1"/>
      <protection/>
    </xf>
    <xf numFmtId="0" fontId="71" fillId="36" borderId="0" xfId="65" applyFont="1" applyFill="1" applyAlignment="1">
      <alignment horizontal="centerContinuous" wrapText="1"/>
      <protection/>
    </xf>
    <xf numFmtId="0" fontId="0" fillId="35" borderId="0" xfId="0" applyFill="1" applyAlignment="1">
      <alignment wrapText="1"/>
    </xf>
    <xf numFmtId="167" fontId="0" fillId="35" borderId="0" xfId="0" applyNumberFormat="1" applyFill="1" applyAlignment="1">
      <alignment/>
    </xf>
    <xf numFmtId="43" fontId="0" fillId="35" borderId="0" xfId="0" applyNumberFormat="1" applyFill="1" applyAlignment="1">
      <alignment/>
    </xf>
    <xf numFmtId="10" fontId="0" fillId="35" borderId="0" xfId="0" applyNumberFormat="1" applyFill="1" applyAlignment="1">
      <alignment/>
    </xf>
    <xf numFmtId="0" fontId="0" fillId="7" borderId="0" xfId="0" applyFill="1" applyAlignment="1">
      <alignment horizontal="centerContinuous" vertical="center"/>
    </xf>
    <xf numFmtId="0" fontId="10" fillId="7" borderId="0" xfId="0" applyFont="1" applyFill="1" applyAlignment="1">
      <alignment horizontal="centerContinuous" vertical="center"/>
    </xf>
    <xf numFmtId="0" fontId="0" fillId="0" borderId="0" xfId="0" applyFont="1" applyAlignment="1">
      <alignment/>
    </xf>
    <xf numFmtId="0" fontId="74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rmal 10" xfId="55"/>
    <cellStyle name="Normal 2" xfId="56"/>
    <cellStyle name="Normal 371" xfId="57"/>
    <cellStyle name="Normal 6" xfId="58"/>
    <cellStyle name="Normal 7" xfId="59"/>
    <cellStyle name="Normal_Sheet1" xfId="60"/>
    <cellStyle name="Note" xfId="61"/>
    <cellStyle name="Output" xfId="62"/>
    <cellStyle name="Percent 5" xfId="63"/>
    <cellStyle name="Title" xfId="64"/>
    <cellStyle name="Titles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140625" style="0" bestFit="1" customWidth="1"/>
    <col min="3" max="3" width="35.140625" style="0" customWidth="1"/>
    <col min="4" max="4" width="15.140625" style="0" customWidth="1"/>
    <col min="5" max="5" width="14.00390625" style="0" customWidth="1"/>
    <col min="6" max="6" width="16.421875" style="0" bestFit="1" customWidth="1"/>
    <col min="7" max="7" width="14.421875" style="0" bestFit="1" customWidth="1"/>
    <col min="8" max="8" width="11.00390625" style="0" customWidth="1"/>
    <col min="9" max="9" width="11.00390625" style="0" bestFit="1" customWidth="1"/>
    <col min="10" max="10" width="13.140625" style="0" bestFit="1" customWidth="1"/>
  </cols>
  <sheetData>
    <row r="1" spans="1:3" ht="14.25">
      <c r="A1" s="10" t="s">
        <v>2</v>
      </c>
      <c r="B1" s="11" t="s">
        <v>3</v>
      </c>
      <c r="C1" s="12"/>
    </row>
    <row r="3" spans="2:17" ht="28.5" customHeight="1">
      <c r="B3" s="127" t="s">
        <v>181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6" spans="2:5" ht="54">
      <c r="B6" s="120" t="s">
        <v>4</v>
      </c>
      <c r="C6" s="13"/>
      <c r="D6" s="13"/>
      <c r="E6" s="13"/>
    </row>
    <row r="7" spans="2:5" ht="18">
      <c r="B7" s="13"/>
      <c r="C7" s="13"/>
      <c r="D7" s="13"/>
      <c r="E7" s="13"/>
    </row>
    <row r="8" ht="12">
      <c r="G8" s="14"/>
    </row>
    <row r="9" spans="2:7" ht="15">
      <c r="B9" s="15"/>
      <c r="C9" s="15"/>
      <c r="D9" s="2">
        <v>-1</v>
      </c>
      <c r="E9" s="2">
        <v>-2</v>
      </c>
      <c r="G9" s="14"/>
    </row>
    <row r="10" spans="2:7" ht="15.75">
      <c r="B10" s="1" t="s">
        <v>0</v>
      </c>
      <c r="C10" s="1" t="s">
        <v>5</v>
      </c>
      <c r="D10" s="3" t="s">
        <v>6</v>
      </c>
      <c r="E10" s="3" t="s">
        <v>7</v>
      </c>
      <c r="G10" s="14"/>
    </row>
    <row r="11" spans="2:7" ht="14.25">
      <c r="B11" s="16"/>
      <c r="C11" s="16" t="s">
        <v>8</v>
      </c>
      <c r="D11" s="17"/>
      <c r="E11" s="17"/>
      <c r="G11" s="14"/>
    </row>
    <row r="12" spans="2:7" ht="12.75">
      <c r="B12" s="18">
        <v>1</v>
      </c>
      <c r="C12" s="7" t="s">
        <v>9</v>
      </c>
      <c r="D12" s="19">
        <v>462669.6964285714</v>
      </c>
      <c r="E12" s="19">
        <v>462669.54464285716</v>
      </c>
      <c r="G12" s="14"/>
    </row>
    <row r="13" spans="2:7" ht="12.75">
      <c r="B13" s="18">
        <v>2</v>
      </c>
      <c r="C13" s="7" t="s">
        <v>10</v>
      </c>
      <c r="D13" s="19">
        <v>73240.30357142857</v>
      </c>
      <c r="E13" s="19">
        <v>73223.45535714287</v>
      </c>
      <c r="G13" s="14"/>
    </row>
    <row r="14" spans="2:7" ht="12.75">
      <c r="B14" s="18">
        <v>3</v>
      </c>
      <c r="C14" s="7" t="s">
        <v>11</v>
      </c>
      <c r="D14" s="19">
        <v>2181</v>
      </c>
      <c r="E14" s="19">
        <v>2181</v>
      </c>
      <c r="G14" s="14"/>
    </row>
    <row r="15" spans="2:7" ht="12">
      <c r="B15" s="20"/>
      <c r="C15" s="20"/>
      <c r="D15" s="21"/>
      <c r="E15" s="21"/>
      <c r="G15" s="14"/>
    </row>
    <row r="16" spans="1:7" ht="12.75">
      <c r="A16" s="22"/>
      <c r="B16" s="18">
        <v>4</v>
      </c>
      <c r="C16" s="7" t="s">
        <v>12</v>
      </c>
      <c r="D16" s="23">
        <f>SUM(D12:D15)</f>
        <v>538091</v>
      </c>
      <c r="E16" s="23">
        <f>SUM(E12:E15)</f>
        <v>538074</v>
      </c>
      <c r="F16" s="22"/>
      <c r="G16" s="14"/>
    </row>
    <row r="17" spans="2:7" ht="12">
      <c r="B17" s="24"/>
      <c r="C17" s="24"/>
      <c r="D17" s="24"/>
      <c r="E17" s="24"/>
      <c r="G17" s="14"/>
    </row>
    <row r="18" spans="2:7" ht="14.25">
      <c r="B18" s="16" t="s">
        <v>13</v>
      </c>
      <c r="C18" s="16"/>
      <c r="D18" s="17"/>
      <c r="E18" s="17"/>
      <c r="G18" s="14"/>
    </row>
    <row r="19" spans="2:7" ht="12.75">
      <c r="B19" s="18">
        <v>5</v>
      </c>
      <c r="C19" s="7" t="s">
        <v>9</v>
      </c>
      <c r="D19" s="19">
        <v>555203.5415387482</v>
      </c>
      <c r="E19" s="19">
        <v>555203.3123081224</v>
      </c>
      <c r="G19" s="14"/>
    </row>
    <row r="20" spans="2:7" ht="12.75">
      <c r="B20" s="18">
        <v>6</v>
      </c>
      <c r="C20" s="7" t="s">
        <v>10</v>
      </c>
      <c r="D20" s="19">
        <v>606074.0087813605</v>
      </c>
      <c r="E20" s="19">
        <v>600158.1610685977</v>
      </c>
      <c r="G20" s="14"/>
    </row>
    <row r="21" spans="2:7" ht="12.75">
      <c r="B21" s="18">
        <v>7</v>
      </c>
      <c r="C21" s="7" t="s">
        <v>11</v>
      </c>
      <c r="D21" s="19">
        <v>20729.358679891033</v>
      </c>
      <c r="E21" s="19">
        <v>20476.56262327985</v>
      </c>
      <c r="G21" s="14"/>
    </row>
    <row r="22" spans="2:7" ht="12">
      <c r="B22" s="20"/>
      <c r="C22" s="20"/>
      <c r="D22" s="21"/>
      <c r="E22" s="21"/>
      <c r="G22" s="14"/>
    </row>
    <row r="23" spans="1:7" ht="12.75">
      <c r="A23" s="22"/>
      <c r="B23" s="18">
        <v>8</v>
      </c>
      <c r="C23" s="7" t="s">
        <v>14</v>
      </c>
      <c r="D23" s="23">
        <f>SUM(D19:D22)</f>
        <v>1182006.9089999998</v>
      </c>
      <c r="E23" s="23">
        <f>SUM(E19:E22)</f>
        <v>1175838.036</v>
      </c>
      <c r="F23" s="22"/>
      <c r="G23" s="14"/>
    </row>
    <row r="24" spans="2:7" ht="12">
      <c r="B24" s="24"/>
      <c r="C24" s="24"/>
      <c r="D24" s="24"/>
      <c r="E24" s="24"/>
      <c r="G24" s="14"/>
    </row>
    <row r="25" spans="2:7" ht="14.25">
      <c r="B25" s="16"/>
      <c r="C25" s="16" t="s">
        <v>15</v>
      </c>
      <c r="D25" s="17"/>
      <c r="E25" s="17"/>
      <c r="G25" s="14"/>
    </row>
    <row r="26" spans="2:7" ht="12.75">
      <c r="B26" s="18">
        <v>9</v>
      </c>
      <c r="C26" s="7" t="s">
        <v>9</v>
      </c>
      <c r="D26" s="19">
        <v>976231.7801720412</v>
      </c>
      <c r="E26" s="19">
        <v>976230.8202580618</v>
      </c>
      <c r="G26" s="14"/>
    </row>
    <row r="27" spans="2:7" ht="12.75">
      <c r="B27" s="18">
        <v>10</v>
      </c>
      <c r="C27" s="7" t="s">
        <v>10</v>
      </c>
      <c r="D27" s="19">
        <v>1083413.6537617554</v>
      </c>
      <c r="E27" s="19">
        <v>1069072.8657339911</v>
      </c>
      <c r="G27" s="14"/>
    </row>
    <row r="28" spans="2:7" ht="12.75">
      <c r="B28" s="18">
        <v>11</v>
      </c>
      <c r="C28" s="7" t="s">
        <v>11</v>
      </c>
      <c r="D28" s="19">
        <v>28684.14306620331</v>
      </c>
      <c r="E28" s="19">
        <v>28353.12800794687</v>
      </c>
      <c r="G28" s="14"/>
    </row>
    <row r="29" spans="2:5" ht="12">
      <c r="B29" s="20"/>
      <c r="C29" s="20"/>
      <c r="D29" s="21"/>
      <c r="E29" s="21"/>
    </row>
    <row r="30" spans="1:6" ht="12.75">
      <c r="A30" s="22"/>
      <c r="B30" s="18">
        <v>12</v>
      </c>
      <c r="C30" s="7" t="s">
        <v>16</v>
      </c>
      <c r="D30" s="23">
        <f>SUM(D26:D29)</f>
        <v>2088329.5769999998</v>
      </c>
      <c r="E30" s="23">
        <f>SUM(E26:E29)</f>
        <v>2073656.8139999995</v>
      </c>
      <c r="F30" s="22"/>
    </row>
    <row r="33" spans="2:17" ht="18">
      <c r="B33" s="13" t="s">
        <v>17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2:17" ht="18">
      <c r="B34" s="13" t="s">
        <v>18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2:17" ht="18">
      <c r="B35" s="13" t="s">
        <v>19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2:11" ht="15"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2:17" ht="15">
      <c r="B37" s="15"/>
      <c r="C37" s="15"/>
      <c r="D37" s="2">
        <v>-1</v>
      </c>
      <c r="E37" s="2">
        <v>-2</v>
      </c>
      <c r="F37" s="2">
        <v>-3</v>
      </c>
      <c r="G37" s="2">
        <v>-4</v>
      </c>
      <c r="H37" s="2">
        <v>-5</v>
      </c>
      <c r="I37" s="2">
        <v>-6</v>
      </c>
      <c r="J37" s="2">
        <v>-7</v>
      </c>
      <c r="K37" s="2">
        <v>-8</v>
      </c>
      <c r="L37" s="2">
        <f aca="true" t="shared" si="0" ref="L37:Q37">K37-1</f>
        <v>-9</v>
      </c>
      <c r="M37" s="2">
        <f t="shared" si="0"/>
        <v>-10</v>
      </c>
      <c r="N37" s="2">
        <f t="shared" si="0"/>
        <v>-11</v>
      </c>
      <c r="O37" s="2">
        <f t="shared" si="0"/>
        <v>-12</v>
      </c>
      <c r="P37" s="2">
        <f t="shared" si="0"/>
        <v>-13</v>
      </c>
      <c r="Q37" s="2">
        <f t="shared" si="0"/>
        <v>-14</v>
      </c>
    </row>
    <row r="38" spans="2:17" ht="15.75">
      <c r="B38" s="26"/>
      <c r="C38" s="26"/>
      <c r="D38" s="26"/>
      <c r="E38" s="27" t="s">
        <v>20</v>
      </c>
      <c r="F38" s="27"/>
      <c r="G38" s="27"/>
      <c r="H38" s="27"/>
      <c r="I38" s="27" t="s">
        <v>21</v>
      </c>
      <c r="J38" s="27"/>
      <c r="K38" s="27"/>
      <c r="L38" s="27"/>
      <c r="M38" s="27" t="s">
        <v>22</v>
      </c>
      <c r="N38" s="27"/>
      <c r="O38" s="27"/>
      <c r="P38" s="27" t="s">
        <v>23</v>
      </c>
      <c r="Q38" s="27"/>
    </row>
    <row r="39" spans="2:17" ht="63.75">
      <c r="B39" s="1" t="s">
        <v>0</v>
      </c>
      <c r="C39" s="1" t="s">
        <v>24</v>
      </c>
      <c r="D39" s="28" t="s">
        <v>25</v>
      </c>
      <c r="E39" s="3" t="s">
        <v>26</v>
      </c>
      <c r="F39" s="3" t="s">
        <v>27</v>
      </c>
      <c r="G39" s="3" t="s">
        <v>28</v>
      </c>
      <c r="H39" s="3" t="s">
        <v>29</v>
      </c>
      <c r="I39" s="3" t="s">
        <v>30</v>
      </c>
      <c r="J39" s="3" t="s">
        <v>31</v>
      </c>
      <c r="K39" s="3" t="s">
        <v>32</v>
      </c>
      <c r="L39" s="3" t="s">
        <v>33</v>
      </c>
      <c r="M39" s="3" t="s">
        <v>34</v>
      </c>
      <c r="N39" s="3" t="s">
        <v>35</v>
      </c>
      <c r="O39" s="3" t="s">
        <v>36</v>
      </c>
      <c r="P39" s="3" t="s">
        <v>37</v>
      </c>
      <c r="Q39" s="3" t="s">
        <v>38</v>
      </c>
    </row>
    <row r="40" spans="2:17" ht="12.75">
      <c r="B40" s="4"/>
      <c r="C40" s="29" t="s">
        <v>39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2:17" ht="12.75">
      <c r="B41" s="18">
        <v>1</v>
      </c>
      <c r="C41" s="7" t="s">
        <v>40</v>
      </c>
      <c r="D41" s="31">
        <f>SUM(E41:Q41)</f>
        <v>1098038.4</v>
      </c>
      <c r="E41" s="32">
        <v>0</v>
      </c>
      <c r="F41" s="32">
        <v>0</v>
      </c>
      <c r="G41" s="32">
        <v>1098038.4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</row>
    <row r="42" spans="2:17" ht="12.75">
      <c r="B42" s="18">
        <v>2</v>
      </c>
      <c r="C42" s="7" t="s">
        <v>41</v>
      </c>
      <c r="D42" s="33">
        <f>SUM(E42:Q42)</f>
        <v>95942.63429289404</v>
      </c>
      <c r="E42" s="34">
        <v>0</v>
      </c>
      <c r="F42" s="34">
        <v>0</v>
      </c>
      <c r="G42" s="34">
        <v>65875.8</v>
      </c>
      <c r="H42" s="34">
        <v>18122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11944.83429289404</v>
      </c>
      <c r="O42" s="34">
        <v>0</v>
      </c>
      <c r="P42" s="34">
        <v>0</v>
      </c>
      <c r="Q42" s="34">
        <v>0</v>
      </c>
    </row>
    <row r="43" spans="2:17" ht="12.75">
      <c r="B43" s="18">
        <v>3</v>
      </c>
      <c r="C43" s="7" t="s">
        <v>42</v>
      </c>
      <c r="D43" s="33">
        <f>SUM(E43:Q43)</f>
        <v>48396.4</v>
      </c>
      <c r="E43" s="34">
        <v>0</v>
      </c>
      <c r="F43" s="34">
        <v>0</v>
      </c>
      <c r="G43" s="34">
        <v>48396.4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</row>
    <row r="44" spans="1:17" ht="12.75">
      <c r="A44" s="22"/>
      <c r="B44" s="18">
        <v>4</v>
      </c>
      <c r="C44" s="7" t="s">
        <v>43</v>
      </c>
      <c r="D44" s="33">
        <f>SUM(E44:Q44)</f>
        <v>21937.5</v>
      </c>
      <c r="E44" s="34">
        <v>0</v>
      </c>
      <c r="F44" s="34">
        <v>0</v>
      </c>
      <c r="G44" s="34">
        <v>21937.5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</row>
    <row r="45" spans="2:17" ht="12.75">
      <c r="B45" s="35"/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2:17" ht="12.75">
      <c r="B46" s="18">
        <v>5</v>
      </c>
      <c r="C46" s="7" t="s">
        <v>44</v>
      </c>
      <c r="D46" s="33">
        <f>SUM(E46:Q46)</f>
        <v>166276.53429289407</v>
      </c>
      <c r="E46" s="38">
        <f>SUM(E42:E45)</f>
        <v>0</v>
      </c>
      <c r="F46" s="38">
        <f>SUM(F42:F45)</f>
        <v>0</v>
      </c>
      <c r="G46" s="38">
        <f>SUM(G42:G45)</f>
        <v>136209.7</v>
      </c>
      <c r="H46" s="38">
        <f aca="true" t="shared" si="1" ref="H46:N46">SUM(H42:H45)</f>
        <v>18122</v>
      </c>
      <c r="I46" s="38">
        <f t="shared" si="1"/>
        <v>0</v>
      </c>
      <c r="J46" s="38">
        <f t="shared" si="1"/>
        <v>0</v>
      </c>
      <c r="K46" s="38">
        <f t="shared" si="1"/>
        <v>0</v>
      </c>
      <c r="L46" s="38">
        <f t="shared" si="1"/>
        <v>0</v>
      </c>
      <c r="M46" s="38">
        <f t="shared" si="1"/>
        <v>0</v>
      </c>
      <c r="N46" s="38">
        <f t="shared" si="1"/>
        <v>11944.83429289404</v>
      </c>
      <c r="O46" s="38">
        <f>SUM(O42:O45)</f>
        <v>0</v>
      </c>
      <c r="P46" s="38">
        <f>SUM(P42:P45)</f>
        <v>0</v>
      </c>
      <c r="Q46" s="38">
        <f>SUM(Q42:Q45)</f>
        <v>0</v>
      </c>
    </row>
    <row r="47" spans="2:17" ht="12.75">
      <c r="B47" s="39"/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2:17" ht="12.75">
      <c r="B48" s="4"/>
      <c r="C48" s="29" t="s">
        <v>45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2:17" ht="13.5" thickBot="1">
      <c r="B49" s="18">
        <v>6</v>
      </c>
      <c r="C49" s="7" t="s">
        <v>46</v>
      </c>
      <c r="D49" s="33">
        <f>SUM(E49:Q49)</f>
        <v>21139.9626225231</v>
      </c>
      <c r="E49" s="42">
        <v>555.0066114405644</v>
      </c>
      <c r="F49" s="42">
        <v>4267.306587963629</v>
      </c>
      <c r="G49" s="42">
        <v>0</v>
      </c>
      <c r="H49" s="42">
        <v>0</v>
      </c>
      <c r="I49" s="42">
        <v>6750.341239147378</v>
      </c>
      <c r="J49" s="42">
        <v>4971.821502486066</v>
      </c>
      <c r="K49" s="42">
        <v>4038.712170008457</v>
      </c>
      <c r="L49" s="43">
        <v>556.7745114770069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</row>
    <row r="50" spans="2:17" ht="15" thickTop="1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5"/>
    </row>
    <row r="51" spans="2:17" ht="12.75">
      <c r="B51" s="18">
        <v>7</v>
      </c>
      <c r="C51" s="7" t="s">
        <v>1</v>
      </c>
      <c r="D51" s="33">
        <f>SUM(E51:Q51)</f>
        <v>187416.49691541714</v>
      </c>
      <c r="E51" s="46">
        <f>E46+E49</f>
        <v>555.0066114405644</v>
      </c>
      <c r="F51" s="46">
        <f aca="true" t="shared" si="2" ref="F51:Q51">F46+F49</f>
        <v>4267.306587963629</v>
      </c>
      <c r="G51" s="46">
        <f t="shared" si="2"/>
        <v>136209.7</v>
      </c>
      <c r="H51" s="46">
        <f t="shared" si="2"/>
        <v>18122</v>
      </c>
      <c r="I51" s="46">
        <f t="shared" si="2"/>
        <v>6750.341239147378</v>
      </c>
      <c r="J51" s="46">
        <f t="shared" si="2"/>
        <v>4971.821502486066</v>
      </c>
      <c r="K51" s="46">
        <f t="shared" si="2"/>
        <v>4038.712170008457</v>
      </c>
      <c r="L51" s="46">
        <f t="shared" si="2"/>
        <v>556.7745114770069</v>
      </c>
      <c r="M51" s="46">
        <f>M46+M49</f>
        <v>0</v>
      </c>
      <c r="N51" s="46">
        <f t="shared" si="2"/>
        <v>11944.83429289404</v>
      </c>
      <c r="O51" s="46">
        <f t="shared" si="2"/>
        <v>0</v>
      </c>
      <c r="P51" s="46">
        <f t="shared" si="2"/>
        <v>0</v>
      </c>
      <c r="Q51" s="46">
        <f t="shared" si="2"/>
        <v>0</v>
      </c>
    </row>
    <row r="52" spans="2:11" ht="12"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61" spans="2:5" ht="15">
      <c r="B61" s="108" t="s">
        <v>47</v>
      </c>
      <c r="C61" s="108"/>
      <c r="D61" s="108"/>
      <c r="E61" s="108"/>
    </row>
    <row r="62" spans="2:5" ht="15">
      <c r="B62" s="108" t="s">
        <v>18</v>
      </c>
      <c r="C62" s="108"/>
      <c r="D62" s="108"/>
      <c r="E62" s="108"/>
    </row>
    <row r="63" spans="2:5" ht="15">
      <c r="B63" s="108" t="s">
        <v>19</v>
      </c>
      <c r="C63" s="108"/>
      <c r="D63" s="108"/>
      <c r="E63" s="108"/>
    </row>
    <row r="64" spans="2:5" ht="15">
      <c r="B64" s="25"/>
      <c r="C64" s="25"/>
      <c r="D64" s="25"/>
      <c r="E64" s="25"/>
    </row>
    <row r="65" spans="2:5" ht="15.75">
      <c r="B65" s="26"/>
      <c r="C65" s="26"/>
      <c r="D65" s="26"/>
      <c r="E65" s="2">
        <v>-1</v>
      </c>
    </row>
    <row r="66" spans="2:5" ht="31.5">
      <c r="B66" s="1" t="s">
        <v>0</v>
      </c>
      <c r="C66" s="1" t="s">
        <v>48</v>
      </c>
      <c r="D66" s="3"/>
      <c r="E66" s="47" t="s">
        <v>25</v>
      </c>
    </row>
    <row r="67" spans="2:5" ht="12.75">
      <c r="B67" s="18">
        <v>1</v>
      </c>
      <c r="C67" s="48" t="s">
        <v>49</v>
      </c>
      <c r="D67" s="49"/>
      <c r="E67" s="50">
        <f>N51</f>
        <v>11944.83429289404</v>
      </c>
    </row>
    <row r="68" spans="2:8" ht="13.5" thickBot="1">
      <c r="B68" s="18">
        <v>2</v>
      </c>
      <c r="C68" s="51" t="s">
        <v>50</v>
      </c>
      <c r="D68" s="52"/>
      <c r="E68" s="38">
        <f>D51-N51</f>
        <v>175471.6626225231</v>
      </c>
      <c r="G68" s="118"/>
      <c r="H68" s="119"/>
    </row>
    <row r="69" spans="2:5" ht="6.75" customHeight="1" thickTop="1">
      <c r="B69" s="44"/>
      <c r="C69" s="54"/>
      <c r="D69" s="55"/>
      <c r="E69" s="44"/>
    </row>
    <row r="70" spans="2:5" ht="12.75">
      <c r="B70" s="18">
        <v>3</v>
      </c>
      <c r="C70" s="48" t="s">
        <v>1</v>
      </c>
      <c r="D70" s="49"/>
      <c r="E70" s="50">
        <f>SUM(E67:E69)</f>
        <v>187416.49691541714</v>
      </c>
    </row>
    <row r="73" spans="2:5" ht="15">
      <c r="B73" s="108" t="s">
        <v>51</v>
      </c>
      <c r="C73" s="108"/>
      <c r="D73" s="108"/>
      <c r="E73" s="108"/>
    </row>
    <row r="74" spans="2:5" ht="15">
      <c r="B74" s="108" t="s">
        <v>18</v>
      </c>
      <c r="C74" s="108"/>
      <c r="D74" s="108"/>
      <c r="E74" s="108"/>
    </row>
    <row r="76" spans="2:5" ht="15.75">
      <c r="B76" s="1"/>
      <c r="C76" s="1"/>
      <c r="D76" s="2">
        <v>-1</v>
      </c>
      <c r="E76" s="2">
        <v>-2</v>
      </c>
    </row>
    <row r="77" spans="2:5" ht="15.75">
      <c r="B77" s="1" t="s">
        <v>0</v>
      </c>
      <c r="C77" s="1" t="s">
        <v>52</v>
      </c>
      <c r="D77" s="3"/>
      <c r="E77" s="47"/>
    </row>
    <row r="78" spans="2:5" ht="14.25">
      <c r="B78" s="24"/>
      <c r="C78" s="24"/>
      <c r="D78" s="56" t="s">
        <v>53</v>
      </c>
      <c r="E78" s="56" t="s">
        <v>54</v>
      </c>
    </row>
    <row r="79" spans="2:5" ht="12.75">
      <c r="B79" s="8">
        <v>1</v>
      </c>
      <c r="C79" s="7" t="s">
        <v>55</v>
      </c>
      <c r="D79" s="57">
        <v>0.2</v>
      </c>
      <c r="E79" s="57">
        <v>0.8</v>
      </c>
    </row>
    <row r="80" spans="2:5" ht="12.75">
      <c r="B80" s="8">
        <v>2</v>
      </c>
      <c r="C80" s="7" t="s">
        <v>56</v>
      </c>
      <c r="D80" s="58">
        <v>500</v>
      </c>
      <c r="E80" s="58">
        <v>500</v>
      </c>
    </row>
    <row r="81" spans="2:5" ht="12.75">
      <c r="B81" s="8">
        <v>3</v>
      </c>
      <c r="C81" s="7" t="s">
        <v>57</v>
      </c>
      <c r="D81" s="59">
        <v>2110</v>
      </c>
      <c r="E81" s="59">
        <v>1200</v>
      </c>
    </row>
    <row r="82" spans="2:5" ht="12.75">
      <c r="B82" s="8">
        <v>4</v>
      </c>
      <c r="C82" s="7" t="s">
        <v>58</v>
      </c>
      <c r="D82" s="58">
        <v>12</v>
      </c>
      <c r="E82" s="60"/>
    </row>
    <row r="83" spans="2:5" ht="12.75">
      <c r="B83" s="8">
        <v>5</v>
      </c>
      <c r="C83" s="7" t="s">
        <v>59</v>
      </c>
      <c r="D83" s="58">
        <v>1000</v>
      </c>
      <c r="E83" s="60"/>
    </row>
    <row r="87" spans="2:6" ht="18">
      <c r="B87" s="13" t="s">
        <v>60</v>
      </c>
      <c r="C87" s="13"/>
      <c r="D87" s="13"/>
      <c r="E87" s="13"/>
      <c r="F87" s="13"/>
    </row>
    <row r="88" spans="2:6" ht="18">
      <c r="B88" s="13" t="s">
        <v>61</v>
      </c>
      <c r="C88" s="13"/>
      <c r="D88" s="13"/>
      <c r="E88" s="13"/>
      <c r="F88" s="13"/>
    </row>
    <row r="89" spans="2:6" ht="18">
      <c r="B89" s="13" t="s">
        <v>18</v>
      </c>
      <c r="C89" s="13"/>
      <c r="D89" s="13"/>
      <c r="E89" s="13"/>
      <c r="F89" s="13"/>
    </row>
    <row r="91" spans="2:6" ht="15.75">
      <c r="B91" s="1"/>
      <c r="C91" s="1"/>
      <c r="D91" s="2">
        <v>-1</v>
      </c>
      <c r="E91" s="2">
        <v>-2</v>
      </c>
      <c r="F91" s="2">
        <v>-3</v>
      </c>
    </row>
    <row r="92" spans="2:6" ht="15.75">
      <c r="B92" s="1"/>
      <c r="C92" s="1"/>
      <c r="D92" s="3" t="s">
        <v>7</v>
      </c>
      <c r="E92" s="3"/>
      <c r="F92" s="3"/>
    </row>
    <row r="93" spans="2:6" ht="31.5">
      <c r="B93" s="3" t="s">
        <v>62</v>
      </c>
      <c r="C93" s="1" t="s">
        <v>63</v>
      </c>
      <c r="D93" s="3" t="s">
        <v>64</v>
      </c>
      <c r="E93" s="47" t="s">
        <v>65</v>
      </c>
      <c r="F93" s="47" t="s">
        <v>1</v>
      </c>
    </row>
    <row r="94" spans="2:6" ht="12.75">
      <c r="B94" s="18">
        <v>1</v>
      </c>
      <c r="C94" s="48" t="s">
        <v>66</v>
      </c>
      <c r="D94" s="50">
        <f>ROUND(F94*D79,0)</f>
        <v>344</v>
      </c>
      <c r="E94" s="50">
        <f>F94-D94</f>
        <v>1378</v>
      </c>
      <c r="F94" s="61">
        <v>1722</v>
      </c>
    </row>
    <row r="97" spans="2:6" ht="18">
      <c r="B97" s="13" t="s">
        <v>67</v>
      </c>
      <c r="C97" s="13"/>
      <c r="D97" s="13"/>
      <c r="E97" s="13"/>
      <c r="F97" s="13"/>
    </row>
    <row r="98" spans="2:6" ht="18">
      <c r="B98" s="13" t="s">
        <v>68</v>
      </c>
      <c r="C98" s="13"/>
      <c r="D98" s="13"/>
      <c r="E98" s="13"/>
      <c r="F98" s="13"/>
    </row>
    <row r="99" spans="2:6" ht="18">
      <c r="B99" s="13" t="s">
        <v>69</v>
      </c>
      <c r="C99" s="13"/>
      <c r="D99" s="13"/>
      <c r="E99" s="13"/>
      <c r="F99" s="13"/>
    </row>
    <row r="100" spans="2:6" ht="18">
      <c r="B100" s="13"/>
      <c r="C100" s="13"/>
      <c r="D100" s="13"/>
      <c r="E100" s="13"/>
      <c r="F100" s="13"/>
    </row>
    <row r="102" spans="2:6" ht="15.75">
      <c r="B102" s="1"/>
      <c r="C102" s="1"/>
      <c r="D102" s="2">
        <v>-1</v>
      </c>
      <c r="E102" s="2">
        <v>-2</v>
      </c>
      <c r="F102" s="2">
        <v>-3</v>
      </c>
    </row>
    <row r="103" spans="2:6" ht="15.75">
      <c r="B103" s="1"/>
      <c r="C103" s="62" t="s">
        <v>70</v>
      </c>
      <c r="D103" s="3" t="s">
        <v>7</v>
      </c>
      <c r="E103" s="3"/>
      <c r="F103" s="3"/>
    </row>
    <row r="104" spans="2:6" ht="15.75">
      <c r="B104" s="1" t="s">
        <v>0</v>
      </c>
      <c r="C104" s="1" t="s">
        <v>63</v>
      </c>
      <c r="D104" s="3" t="s">
        <v>64</v>
      </c>
      <c r="E104" s="47" t="s">
        <v>65</v>
      </c>
      <c r="F104" s="47" t="s">
        <v>1</v>
      </c>
    </row>
    <row r="105" spans="2:6" ht="12.75">
      <c r="B105" s="4"/>
      <c r="C105" s="5"/>
      <c r="D105" s="6">
        <v>0.2</v>
      </c>
      <c r="E105" s="6">
        <v>0.8</v>
      </c>
      <c r="F105" s="30"/>
    </row>
    <row r="106" spans="2:6" ht="25.5">
      <c r="B106" s="18">
        <v>1</v>
      </c>
      <c r="C106" s="48" t="s">
        <v>71</v>
      </c>
      <c r="D106" s="50">
        <f>ROUND($F106*D105,3)</f>
        <v>35094.333</v>
      </c>
      <c r="E106" s="50">
        <f>ROUND($F106*E105,3)</f>
        <v>140377.33</v>
      </c>
      <c r="F106" s="50">
        <f>E68</f>
        <v>175471.6626225231</v>
      </c>
    </row>
    <row r="107" spans="2:6" ht="25.5">
      <c r="B107" s="18">
        <v>2</v>
      </c>
      <c r="C107" s="63" t="s">
        <v>72</v>
      </c>
      <c r="D107" s="115">
        <f>E30*2</f>
        <v>4147313.627999999</v>
      </c>
      <c r="E107" s="115">
        <f>E23*2</f>
        <v>2351676.072</v>
      </c>
      <c r="F107" s="64"/>
    </row>
    <row r="108" spans="2:6" ht="25.5">
      <c r="B108" s="18">
        <v>3</v>
      </c>
      <c r="C108" s="48" t="s">
        <v>73</v>
      </c>
      <c r="D108" s="65">
        <f>ROUND(D106*$D$83/D107,3)</f>
        <v>8.462</v>
      </c>
      <c r="E108" s="65">
        <f>ROUND(E106*$D$83/E107,3)</f>
        <v>59.692</v>
      </c>
      <c r="F108" s="66"/>
    </row>
    <row r="109" spans="2:6" ht="25.5">
      <c r="B109" s="18">
        <v>4</v>
      </c>
      <c r="C109" s="63" t="s">
        <v>74</v>
      </c>
      <c r="D109" s="65">
        <f>ROUND(D108/D82,4)</f>
        <v>0.7052</v>
      </c>
      <c r="E109" s="65">
        <f>ROUND(E108/D82,4)</f>
        <v>4.9743</v>
      </c>
      <c r="F109" s="64"/>
    </row>
    <row r="112" spans="2:6" ht="18">
      <c r="B112" s="13" t="s">
        <v>173</v>
      </c>
      <c r="C112" s="13"/>
      <c r="D112" s="13"/>
      <c r="E112" s="13"/>
      <c r="F112" s="13"/>
    </row>
    <row r="113" spans="2:6" ht="18">
      <c r="B113" s="13" t="s">
        <v>172</v>
      </c>
      <c r="C113" s="13"/>
      <c r="D113" s="13"/>
      <c r="E113" s="13"/>
      <c r="F113" s="13"/>
    </row>
    <row r="114" spans="2:6" ht="18">
      <c r="B114" s="13" t="s">
        <v>18</v>
      </c>
      <c r="C114" s="13"/>
      <c r="D114" s="13"/>
      <c r="E114" s="13"/>
      <c r="F114" s="13"/>
    </row>
    <row r="116" spans="2:6" ht="15.75">
      <c r="B116" s="1"/>
      <c r="C116" s="1"/>
      <c r="D116" s="2">
        <v>-1</v>
      </c>
      <c r="E116" s="2">
        <v>-2</v>
      </c>
      <c r="F116" s="2">
        <v>-3</v>
      </c>
    </row>
    <row r="117" spans="2:6" ht="15.75">
      <c r="B117" s="1"/>
      <c r="C117" s="1"/>
      <c r="D117" s="3" t="s">
        <v>7</v>
      </c>
      <c r="E117" s="3"/>
      <c r="F117" s="3"/>
    </row>
    <row r="118" spans="2:6" ht="15.75">
      <c r="B118" s="1" t="s">
        <v>0</v>
      </c>
      <c r="C118" s="1" t="s">
        <v>63</v>
      </c>
      <c r="D118" s="3" t="s">
        <v>64</v>
      </c>
      <c r="E118" s="47" t="s">
        <v>65</v>
      </c>
      <c r="F118" s="47" t="s">
        <v>1</v>
      </c>
    </row>
    <row r="119" spans="2:6" ht="12.75">
      <c r="B119" s="4"/>
      <c r="C119" s="5" t="s">
        <v>75</v>
      </c>
      <c r="D119" s="30"/>
      <c r="E119" s="30"/>
      <c r="F119" s="30"/>
    </row>
    <row r="120" spans="2:6" ht="12.75">
      <c r="B120" s="18">
        <v>1</v>
      </c>
      <c r="C120" s="48" t="s">
        <v>76</v>
      </c>
      <c r="D120" s="38">
        <f>ROUND(D$109*($E26/D$80)*$D$82,0)</f>
        <v>16523</v>
      </c>
      <c r="E120" s="38">
        <f>ROUND(E$109*($E19/E$80)*$D$82,0)</f>
        <v>66282</v>
      </c>
      <c r="F120" s="50">
        <f>SUM(D120:E120)</f>
        <v>82805</v>
      </c>
    </row>
    <row r="121" spans="2:6" ht="12.75">
      <c r="B121" s="4"/>
      <c r="C121" s="5" t="s">
        <v>77</v>
      </c>
      <c r="D121" s="30"/>
      <c r="E121" s="30"/>
      <c r="F121" s="30"/>
    </row>
    <row r="122" spans="2:6" ht="12.75">
      <c r="B122" s="18">
        <v>2</v>
      </c>
      <c r="C122" s="63" t="s">
        <v>78</v>
      </c>
      <c r="D122" s="38">
        <f>D106-D120</f>
        <v>18571.333</v>
      </c>
      <c r="E122" s="38">
        <f>E106-E120</f>
        <v>74095.32999999999</v>
      </c>
      <c r="F122" s="38">
        <f>SUM(D122:E122)</f>
        <v>92666.66299999999</v>
      </c>
    </row>
    <row r="123" spans="2:6" ht="12.75">
      <c r="B123" s="18">
        <v>3</v>
      </c>
      <c r="C123" s="48" t="s">
        <v>79</v>
      </c>
      <c r="D123" s="38">
        <f>D94</f>
        <v>344</v>
      </c>
      <c r="E123" s="38">
        <f>E94</f>
        <v>1378</v>
      </c>
      <c r="F123" s="38">
        <f>SUM(D123:E123)</f>
        <v>1722</v>
      </c>
    </row>
    <row r="124" spans="2:6" ht="12.75">
      <c r="B124" s="18">
        <v>4</v>
      </c>
      <c r="C124" s="48" t="s">
        <v>80</v>
      </c>
      <c r="D124" s="38">
        <f>SUM(D122:D123)</f>
        <v>18915.333</v>
      </c>
      <c r="E124" s="38">
        <f>SUM(E122:E123)</f>
        <v>75473.32999999999</v>
      </c>
      <c r="F124" s="38">
        <f>SUM(D124:E124)</f>
        <v>94388.66299999999</v>
      </c>
    </row>
    <row r="125" spans="2:6" ht="3.75" customHeight="1">
      <c r="B125" s="67"/>
      <c r="C125" s="67"/>
      <c r="D125" s="67"/>
      <c r="E125" s="67"/>
      <c r="F125" s="67"/>
    </row>
    <row r="126" spans="2:6" ht="12.75">
      <c r="B126" s="18">
        <v>5</v>
      </c>
      <c r="C126" s="48" t="s">
        <v>81</v>
      </c>
      <c r="D126" s="50">
        <f>SUM(D120,D124)</f>
        <v>35438.333</v>
      </c>
      <c r="E126" s="50">
        <f>SUM(E120,E124)</f>
        <v>141755.33</v>
      </c>
      <c r="F126" s="38">
        <f>SUM(D126:E126)</f>
        <v>177193.663</v>
      </c>
    </row>
    <row r="127" spans="2:6" ht="12">
      <c r="B127" s="9"/>
      <c r="C127" s="9"/>
      <c r="D127" s="9"/>
      <c r="E127" s="9"/>
      <c r="F127" s="9"/>
    </row>
    <row r="128" spans="2:6" ht="14.25">
      <c r="B128" s="68"/>
      <c r="D128" s="69"/>
      <c r="E128" s="69"/>
      <c r="F128" s="69"/>
    </row>
    <row r="129" spans="2:6" ht="14.25">
      <c r="B129" s="68"/>
      <c r="D129" s="69"/>
      <c r="E129" s="69"/>
      <c r="F129" s="69"/>
    </row>
    <row r="130" spans="2:6" ht="12.75">
      <c r="B130" s="70" t="s">
        <v>82</v>
      </c>
      <c r="C130" s="70"/>
      <c r="D130" s="70"/>
      <c r="E130" s="70"/>
      <c r="F130" s="70"/>
    </row>
    <row r="131" spans="2:6" ht="12.75">
      <c r="B131" s="70" t="s">
        <v>83</v>
      </c>
      <c r="C131" s="70"/>
      <c r="D131" s="70"/>
      <c r="E131" s="70"/>
      <c r="F131" s="70"/>
    </row>
    <row r="132" spans="2:6" ht="12.75">
      <c r="B132" s="70" t="s">
        <v>84</v>
      </c>
      <c r="C132" s="70"/>
      <c r="D132" s="70"/>
      <c r="E132" s="70"/>
      <c r="F132" s="70"/>
    </row>
    <row r="135" spans="2:6" ht="18">
      <c r="B135" s="13" t="s">
        <v>85</v>
      </c>
      <c r="C135" s="13"/>
      <c r="D135" s="13"/>
      <c r="E135" s="13"/>
      <c r="F135" s="13"/>
    </row>
    <row r="136" spans="2:6" ht="18">
      <c r="B136" s="13" t="s">
        <v>86</v>
      </c>
      <c r="C136" s="13"/>
      <c r="D136" s="13"/>
      <c r="E136" s="13"/>
      <c r="F136" s="13"/>
    </row>
    <row r="138" spans="2:6" ht="15.75">
      <c r="B138" s="1"/>
      <c r="C138" s="1"/>
      <c r="D138" s="2">
        <v>-1</v>
      </c>
      <c r="E138" s="2">
        <v>-2</v>
      </c>
      <c r="F138" s="2">
        <v>-3</v>
      </c>
    </row>
    <row r="139" spans="2:6" ht="15.75">
      <c r="B139" s="1"/>
      <c r="C139" s="1"/>
      <c r="D139" s="3" t="s">
        <v>7</v>
      </c>
      <c r="E139" s="3"/>
      <c r="F139" s="3"/>
    </row>
    <row r="140" spans="2:6" ht="15.75">
      <c r="B140" s="1" t="s">
        <v>0</v>
      </c>
      <c r="C140" s="1" t="s">
        <v>63</v>
      </c>
      <c r="D140" s="3" t="s">
        <v>64</v>
      </c>
      <c r="E140" s="47" t="s">
        <v>65</v>
      </c>
      <c r="F140" s="47" t="s">
        <v>1</v>
      </c>
    </row>
    <row r="141" spans="2:10" ht="12.75">
      <c r="B141" s="18">
        <v>1</v>
      </c>
      <c r="C141" s="48" t="s">
        <v>87</v>
      </c>
      <c r="D141" s="66">
        <f>ROUND($D81/$D80*D109,2)</f>
        <v>2.98</v>
      </c>
      <c r="E141" s="66">
        <f>ROUND($E81/$E80*E109,2)</f>
        <v>11.94</v>
      </c>
      <c r="F141" s="66">
        <f>SUM(D141:E141)</f>
        <v>14.92</v>
      </c>
      <c r="H141" s="71">
        <v>3.172719819716386</v>
      </c>
      <c r="I141" s="71">
        <v>12.734944831917161</v>
      </c>
      <c r="J141" s="71">
        <v>15.907664651633548</v>
      </c>
    </row>
    <row r="142" spans="2:6" ht="25.5">
      <c r="B142" s="18">
        <v>2</v>
      </c>
      <c r="C142" s="63" t="s">
        <v>88</v>
      </c>
      <c r="D142" s="65">
        <f>ROUND(D124/$D$82/(SUM(E$27:E$28)/D$80),3)</f>
        <v>0.718</v>
      </c>
      <c r="E142" s="65">
        <f>ROUND(E124/$D$82/(SUM(E$20:E$21)/E$80),3)</f>
        <v>5.067</v>
      </c>
      <c r="F142" s="64"/>
    </row>
    <row r="143" spans="2:6" ht="25.5">
      <c r="B143" s="18">
        <v>3</v>
      </c>
      <c r="C143" s="48" t="s">
        <v>89</v>
      </c>
      <c r="D143" s="65">
        <f>D142-D109</f>
        <v>0.012799999999999923</v>
      </c>
      <c r="E143" s="65">
        <f>E142-E109</f>
        <v>0.09269999999999978</v>
      </c>
      <c r="F143" s="66"/>
    </row>
    <row r="145" ht="12.75">
      <c r="B145" s="70" t="s">
        <v>90</v>
      </c>
    </row>
    <row r="148" spans="2:6" ht="18" customHeight="1">
      <c r="B148" s="120" t="s">
        <v>91</v>
      </c>
      <c r="C148" s="120"/>
      <c r="D148" s="120"/>
      <c r="E148" s="120"/>
      <c r="F148" s="120"/>
    </row>
    <row r="149" spans="2:6" ht="18">
      <c r="B149" s="13"/>
      <c r="C149" s="13"/>
      <c r="D149" s="13"/>
      <c r="E149" s="13"/>
      <c r="F149" s="13"/>
    </row>
    <row r="150" spans="2:6" ht="15">
      <c r="B150" s="72"/>
      <c r="C150" s="72"/>
      <c r="D150" s="72"/>
      <c r="E150" s="72"/>
      <c r="F150" s="72"/>
    </row>
    <row r="151" spans="2:6" ht="15.75">
      <c r="B151" s="1"/>
      <c r="C151" s="1"/>
      <c r="D151" s="2"/>
      <c r="E151" s="2"/>
      <c r="F151" s="2">
        <v>-1</v>
      </c>
    </row>
    <row r="152" spans="2:6" ht="15.75">
      <c r="B152" s="1" t="s">
        <v>0</v>
      </c>
      <c r="C152" s="1" t="s">
        <v>92</v>
      </c>
      <c r="D152" s="1"/>
      <c r="E152" s="1" t="s">
        <v>93</v>
      </c>
      <c r="F152" s="47" t="s">
        <v>7</v>
      </c>
    </row>
    <row r="153" spans="2:6" ht="12.75">
      <c r="B153" s="18">
        <v>1</v>
      </c>
      <c r="C153" s="73" t="s">
        <v>94</v>
      </c>
      <c r="D153" s="74"/>
      <c r="E153" s="75" t="s">
        <v>95</v>
      </c>
      <c r="F153" s="42">
        <v>11944834.29289404</v>
      </c>
    </row>
    <row r="154" spans="2:6" ht="12.75">
      <c r="B154" s="18">
        <v>2</v>
      </c>
      <c r="C154" s="76" t="s">
        <v>96</v>
      </c>
      <c r="D154" s="77"/>
      <c r="E154" s="78" t="s">
        <v>97</v>
      </c>
      <c r="F154" s="19">
        <v>464563.54464285716</v>
      </c>
    </row>
    <row r="155" spans="2:6" ht="12.75">
      <c r="B155" s="18">
        <v>3</v>
      </c>
      <c r="C155" s="79" t="s">
        <v>98</v>
      </c>
      <c r="D155" s="80"/>
      <c r="E155" s="81"/>
      <c r="F155" s="82">
        <v>1.3</v>
      </c>
    </row>
    <row r="156" spans="2:6" ht="12.75">
      <c r="B156" s="18">
        <v>4</v>
      </c>
      <c r="C156" s="83" t="s">
        <v>99</v>
      </c>
      <c r="D156" s="83"/>
      <c r="E156" s="78" t="s">
        <v>97</v>
      </c>
      <c r="F156" s="19">
        <v>111131.09196428573</v>
      </c>
    </row>
    <row r="157" spans="2:6" ht="12.75">
      <c r="B157" s="18">
        <v>5</v>
      </c>
      <c r="C157" s="79" t="s">
        <v>100</v>
      </c>
      <c r="D157" s="80"/>
      <c r="E157" s="78" t="s">
        <v>97</v>
      </c>
      <c r="F157" s="23">
        <f>F154+F156</f>
        <v>575694.6366071429</v>
      </c>
    </row>
    <row r="158" spans="2:6" ht="12.75">
      <c r="B158" s="18">
        <v>6</v>
      </c>
      <c r="C158" s="83" t="s">
        <v>101</v>
      </c>
      <c r="D158" s="83"/>
      <c r="E158" s="78" t="s">
        <v>97</v>
      </c>
      <c r="F158" s="23">
        <f>F154*D82</f>
        <v>5574762.535714285</v>
      </c>
    </row>
    <row r="159" spans="2:6" ht="12.75">
      <c r="B159" s="18">
        <v>7</v>
      </c>
      <c r="C159" s="79" t="s">
        <v>102</v>
      </c>
      <c r="D159" s="80"/>
      <c r="E159" s="78" t="s">
        <v>97</v>
      </c>
      <c r="F159" s="23">
        <f>F156*D$82</f>
        <v>1333573.103571429</v>
      </c>
    </row>
    <row r="160" spans="2:6" ht="12.75">
      <c r="B160" s="18">
        <v>8</v>
      </c>
      <c r="C160" s="83" t="s">
        <v>103</v>
      </c>
      <c r="D160" s="83"/>
      <c r="E160" s="78" t="s">
        <v>97</v>
      </c>
      <c r="F160" s="23">
        <f>SUM(F158:F159)</f>
        <v>6908335.639285714</v>
      </c>
    </row>
    <row r="161" spans="2:6" ht="12.75">
      <c r="B161" s="18">
        <v>9</v>
      </c>
      <c r="C161" s="79" t="s">
        <v>104</v>
      </c>
      <c r="D161" s="80"/>
      <c r="E161" s="78" t="s">
        <v>105</v>
      </c>
      <c r="F161" s="84">
        <f>ROUND(F153/F160,2)</f>
        <v>1.73</v>
      </c>
    </row>
    <row r="162" spans="2:6" ht="12.75">
      <c r="B162" s="18">
        <v>10</v>
      </c>
      <c r="C162" s="83" t="s">
        <v>106</v>
      </c>
      <c r="D162" s="85"/>
      <c r="E162" s="78" t="s">
        <v>105</v>
      </c>
      <c r="F162" s="84">
        <f>F161*F155</f>
        <v>2.249</v>
      </c>
    </row>
    <row r="163" spans="2:6" ht="12.75">
      <c r="B163" s="86"/>
      <c r="C163" s="87"/>
      <c r="D163" s="88"/>
      <c r="E163" s="88"/>
      <c r="F163" s="89"/>
    </row>
    <row r="164" spans="2:5" ht="12.75">
      <c r="B164" s="70" t="s">
        <v>107</v>
      </c>
      <c r="D164" s="90"/>
      <c r="E164" s="90"/>
    </row>
    <row r="165" spans="2:5" ht="12.75">
      <c r="B165" s="70" t="s">
        <v>108</v>
      </c>
      <c r="D165" s="90"/>
      <c r="E165" s="90"/>
    </row>
    <row r="167" spans="3:11" ht="12">
      <c r="C167" s="22"/>
      <c r="D167" s="22"/>
      <c r="E167" s="22"/>
      <c r="F167" s="22"/>
      <c r="G167" s="22"/>
      <c r="H167" s="22"/>
      <c r="I167" s="22"/>
      <c r="J167" s="22"/>
      <c r="K167" s="22"/>
    </row>
    <row r="168" spans="2:10" ht="18">
      <c r="B168" s="13" t="s">
        <v>109</v>
      </c>
      <c r="C168" s="13"/>
      <c r="D168" s="13"/>
      <c r="E168" s="13"/>
      <c r="F168" s="13"/>
      <c r="G168" s="13"/>
      <c r="H168" s="13"/>
      <c r="I168" s="13"/>
      <c r="J168" s="13"/>
    </row>
    <row r="169" spans="2:10" ht="18">
      <c r="B169" s="13" t="s">
        <v>18</v>
      </c>
      <c r="C169" s="13"/>
      <c r="D169" s="13"/>
      <c r="E169" s="13"/>
      <c r="F169" s="13"/>
      <c r="G169" s="13"/>
      <c r="H169" s="13"/>
      <c r="I169" s="13"/>
      <c r="J169" s="13"/>
    </row>
    <row r="170" spans="2:10" ht="18">
      <c r="B170" s="13" t="s">
        <v>19</v>
      </c>
      <c r="C170" s="13"/>
      <c r="D170" s="13"/>
      <c r="E170" s="13"/>
      <c r="F170" s="13"/>
      <c r="G170" s="13"/>
      <c r="H170" s="13"/>
      <c r="I170" s="13"/>
      <c r="J170" s="13"/>
    </row>
    <row r="171" spans="2:10" ht="15">
      <c r="B171" s="72"/>
      <c r="C171" s="72"/>
      <c r="D171" s="72"/>
      <c r="E171" s="72"/>
      <c r="F171" s="72"/>
      <c r="G171" s="72"/>
      <c r="H171" s="72"/>
      <c r="I171" s="72"/>
      <c r="J171" s="72"/>
    </row>
    <row r="172" spans="2:10" ht="15">
      <c r="B172" s="91"/>
      <c r="C172" s="91"/>
      <c r="D172" s="2">
        <v>-1</v>
      </c>
      <c r="E172" s="2">
        <v>-2</v>
      </c>
      <c r="F172" s="2">
        <v>-3</v>
      </c>
      <c r="G172" s="2">
        <v>-4</v>
      </c>
      <c r="H172" s="2">
        <v>-5</v>
      </c>
      <c r="I172" s="2">
        <v>-6</v>
      </c>
      <c r="J172" s="2">
        <v>-7</v>
      </c>
    </row>
    <row r="173" spans="2:10" ht="15.75">
      <c r="B173" s="26"/>
      <c r="C173" s="26"/>
      <c r="D173" s="26"/>
      <c r="E173" s="27"/>
      <c r="F173" s="27"/>
      <c r="G173" s="3" t="s">
        <v>110</v>
      </c>
      <c r="H173" s="92"/>
      <c r="I173" s="92"/>
      <c r="J173" s="26"/>
    </row>
    <row r="174" spans="2:12" ht="48">
      <c r="B174" s="1" t="s">
        <v>0</v>
      </c>
      <c r="C174" s="1" t="s">
        <v>5</v>
      </c>
      <c r="D174" s="47" t="s">
        <v>111</v>
      </c>
      <c r="E174" s="47" t="s">
        <v>112</v>
      </c>
      <c r="F174" s="47" t="s">
        <v>113</v>
      </c>
      <c r="G174" s="3" t="s">
        <v>9</v>
      </c>
      <c r="H174" s="3" t="s">
        <v>10</v>
      </c>
      <c r="I174" s="47" t="s">
        <v>114</v>
      </c>
      <c r="J174" s="47" t="s">
        <v>115</v>
      </c>
      <c r="L174" t="s">
        <v>116</v>
      </c>
    </row>
    <row r="175" spans="2:10" ht="14.25">
      <c r="B175" s="93"/>
      <c r="C175" s="93" t="s">
        <v>9</v>
      </c>
      <c r="D175" s="93"/>
      <c r="E175" s="93"/>
      <c r="F175" s="93"/>
      <c r="G175" s="93"/>
      <c r="H175" s="93"/>
      <c r="I175" s="93"/>
      <c r="J175" s="93"/>
    </row>
    <row r="176" spans="2:12" ht="12.75">
      <c r="B176" s="18">
        <v>1</v>
      </c>
      <c r="C176" s="7" t="s">
        <v>117</v>
      </c>
      <c r="D176" s="61">
        <v>87150074.25964287</v>
      </c>
      <c r="E176" s="61">
        <v>0</v>
      </c>
      <c r="F176" s="50">
        <f>SUM(D176,E176)</f>
        <v>87150074.25964287</v>
      </c>
      <c r="G176" s="50">
        <v>0</v>
      </c>
      <c r="H176" s="50">
        <v>0</v>
      </c>
      <c r="I176" s="50">
        <f>-E$191*F176/F$191</f>
        <v>1824456.5001013367</v>
      </c>
      <c r="J176" s="50">
        <f>SUM(F176:I176)</f>
        <v>88974530.75974421</v>
      </c>
      <c r="K176" s="94"/>
      <c r="L176" s="95">
        <f>+J176/F176</f>
        <v>1.0209346522719627</v>
      </c>
    </row>
    <row r="177" spans="2:12" ht="12.75">
      <c r="B177" s="18">
        <v>2</v>
      </c>
      <c r="C177" s="7" t="s">
        <v>118</v>
      </c>
      <c r="D177" s="42">
        <v>4515752.52</v>
      </c>
      <c r="E177" s="42">
        <v>-1128938.13</v>
      </c>
      <c r="F177" s="38">
        <f>SUM(D177,E177)</f>
        <v>3386814.3899999997</v>
      </c>
      <c r="G177" s="38"/>
      <c r="H177" s="38"/>
      <c r="I177" s="38">
        <f>-E$191*F177/F$191</f>
        <v>70901.78156432892</v>
      </c>
      <c r="J177" s="38">
        <f>SUM(F177:I177)</f>
        <v>3457716.1715643285</v>
      </c>
      <c r="K177" s="94"/>
      <c r="L177" s="95">
        <f>+J177/F177</f>
        <v>1.0209346522719625</v>
      </c>
    </row>
    <row r="178" spans="2:12" ht="12.75">
      <c r="B178" s="18">
        <v>3</v>
      </c>
      <c r="C178" s="7" t="s">
        <v>119</v>
      </c>
      <c r="D178" s="42">
        <v>814867.6799999999</v>
      </c>
      <c r="E178" s="42">
        <v>-40743.384</v>
      </c>
      <c r="F178" s="38">
        <f>SUM(D178,E178)</f>
        <v>774124.296</v>
      </c>
      <c r="G178" s="38"/>
      <c r="H178" s="38"/>
      <c r="I178" s="38">
        <f>-E$191*F178/F$191</f>
        <v>16206.022952037803</v>
      </c>
      <c r="J178" s="38">
        <f>SUM(F178:I178)</f>
        <v>790330.3189520377</v>
      </c>
      <c r="K178" s="94"/>
      <c r="L178" s="95">
        <f>+J178/F178</f>
        <v>1.0209346522719625</v>
      </c>
    </row>
    <row r="179" spans="2:12" ht="12.75">
      <c r="B179" s="96"/>
      <c r="C179" s="97" t="s">
        <v>120</v>
      </c>
      <c r="D179" s="98">
        <v>0</v>
      </c>
      <c r="E179" s="98"/>
      <c r="F179" s="98">
        <v>0</v>
      </c>
      <c r="G179" s="98"/>
      <c r="H179" s="98"/>
      <c r="I179" s="98">
        <v>0</v>
      </c>
      <c r="J179" s="98">
        <v>0</v>
      </c>
      <c r="K179" s="94"/>
      <c r="L179" s="99" t="str">
        <f>IF(F179=0,"NA",+J179/F179)</f>
        <v>NA</v>
      </c>
    </row>
    <row r="180" spans="2:12" ht="14.25">
      <c r="B180" s="93"/>
      <c r="C180" s="93" t="s">
        <v>10</v>
      </c>
      <c r="D180" s="93"/>
      <c r="E180" s="93"/>
      <c r="F180" s="93"/>
      <c r="G180" s="93"/>
      <c r="H180" s="93"/>
      <c r="I180" s="93"/>
      <c r="J180" s="93"/>
      <c r="K180" s="94"/>
      <c r="L180" s="94"/>
    </row>
    <row r="181" spans="2:12" ht="12.75">
      <c r="B181" s="18">
        <v>4</v>
      </c>
      <c r="C181" s="7" t="s">
        <v>117</v>
      </c>
      <c r="D181" s="42">
        <v>81723598.7846266</v>
      </c>
      <c r="E181" s="42"/>
      <c r="F181" s="38">
        <f aca="true" t="shared" si="3" ref="F181:F189">SUM(D181,E181)</f>
        <v>81723598.7846266</v>
      </c>
      <c r="G181" s="38"/>
      <c r="H181" s="38"/>
      <c r="I181" s="38">
        <f>-E$191*F181/F$191</f>
        <v>1710855.1229695387</v>
      </c>
      <c r="J181" s="38">
        <f aca="true" t="shared" si="4" ref="J181:J189">SUM(F181:I181)</f>
        <v>83434453.90759614</v>
      </c>
      <c r="K181" s="94"/>
      <c r="L181" s="95">
        <f>+J181/F181</f>
        <v>1.0209346522719625</v>
      </c>
    </row>
    <row r="182" spans="2:12" ht="12.75">
      <c r="B182" s="18">
        <v>5</v>
      </c>
      <c r="C182" s="7" t="s">
        <v>118</v>
      </c>
      <c r="D182" s="42">
        <v>10460792.240565361</v>
      </c>
      <c r="E182" s="42">
        <v>-2615198.0601413404</v>
      </c>
      <c r="F182" s="38">
        <f t="shared" si="3"/>
        <v>7845594.180424022</v>
      </c>
      <c r="G182" s="38"/>
      <c r="H182" s="38"/>
      <c r="I182" s="38">
        <f>-E$191*F182/F$191</f>
        <v>164244.78603410983</v>
      </c>
      <c r="J182" s="38">
        <f t="shared" si="4"/>
        <v>8009838.966458132</v>
      </c>
      <c r="K182" s="94"/>
      <c r="L182" s="95">
        <f>+J182/F182</f>
        <v>1.0209346522719627</v>
      </c>
    </row>
    <row r="183" spans="2:12" ht="12.75">
      <c r="B183" s="18">
        <v>6</v>
      </c>
      <c r="C183" s="7" t="s">
        <v>119</v>
      </c>
      <c r="D183" s="42">
        <v>1392131.5695447868</v>
      </c>
      <c r="E183" s="42">
        <v>-69606.57847723934</v>
      </c>
      <c r="F183" s="38">
        <f t="shared" si="3"/>
        <v>1322524.9910675476</v>
      </c>
      <c r="G183" s="38"/>
      <c r="H183" s="38"/>
      <c r="I183" s="38">
        <f>-E$191*F183/F$191</f>
        <v>27686.600808979474</v>
      </c>
      <c r="J183" s="38">
        <f t="shared" si="4"/>
        <v>1350211.591876527</v>
      </c>
      <c r="K183" s="94"/>
      <c r="L183" s="95">
        <f>+J183/F183</f>
        <v>1.0209346522719625</v>
      </c>
    </row>
    <row r="184" spans="2:12" ht="12.75">
      <c r="B184" s="100"/>
      <c r="C184" s="101" t="s">
        <v>120</v>
      </c>
      <c r="D184" s="102">
        <v>0</v>
      </c>
      <c r="E184" s="102"/>
      <c r="F184" s="38">
        <f t="shared" si="3"/>
        <v>0</v>
      </c>
      <c r="G184" s="102"/>
      <c r="H184" s="102"/>
      <c r="I184" s="38">
        <f>-E$191*F184/F$191</f>
        <v>0</v>
      </c>
      <c r="J184" s="38">
        <f t="shared" si="4"/>
        <v>0</v>
      </c>
      <c r="K184" s="94"/>
      <c r="L184" s="99" t="str">
        <f>IF(F184=0,"NA",+J184/F184)</f>
        <v>NA</v>
      </c>
    </row>
    <row r="185" spans="2:12" ht="14.25">
      <c r="B185" s="93"/>
      <c r="C185" s="93" t="s">
        <v>121</v>
      </c>
      <c r="D185" s="93"/>
      <c r="E185" s="93"/>
      <c r="F185" s="93"/>
      <c r="G185" s="93"/>
      <c r="H185" s="93"/>
      <c r="I185" s="93"/>
      <c r="J185" s="93"/>
      <c r="K185" s="94"/>
      <c r="L185" s="94"/>
    </row>
    <row r="186" spans="2:12" ht="12.75">
      <c r="B186" s="18">
        <v>7</v>
      </c>
      <c r="C186" s="7" t="s">
        <v>117</v>
      </c>
      <c r="D186" s="42">
        <v>3016508.5569394636</v>
      </c>
      <c r="E186" s="42"/>
      <c r="F186" s="38">
        <f t="shared" si="3"/>
        <v>3016508.5569394636</v>
      </c>
      <c r="G186" s="38"/>
      <c r="H186" s="38"/>
      <c r="I186" s="38">
        <f>-E$191*F186/F$191</f>
        <v>63149.55771492719</v>
      </c>
      <c r="J186" s="38">
        <f t="shared" si="4"/>
        <v>3079658.1146543906</v>
      </c>
      <c r="K186" s="94"/>
      <c r="L186" s="95">
        <f>+J186/F186</f>
        <v>1.0209346522719625</v>
      </c>
    </row>
    <row r="187" spans="2:12" ht="12.75">
      <c r="B187" s="18">
        <v>8</v>
      </c>
      <c r="C187" s="7" t="s">
        <v>118</v>
      </c>
      <c r="D187" s="42">
        <v>98105.41326529298</v>
      </c>
      <c r="E187" s="42">
        <v>-24526.353316323246</v>
      </c>
      <c r="F187" s="38">
        <f t="shared" si="3"/>
        <v>73579.05994896973</v>
      </c>
      <c r="G187" s="38"/>
      <c r="H187" s="38"/>
      <c r="I187" s="38">
        <f>-E$191*F187/F$191</f>
        <v>1540.3520345295672</v>
      </c>
      <c r="J187" s="38">
        <f t="shared" si="4"/>
        <v>75119.4119834993</v>
      </c>
      <c r="K187" s="94"/>
      <c r="L187" s="95">
        <f>+J187/F187</f>
        <v>1.0209346522719627</v>
      </c>
    </row>
    <row r="188" spans="2:12" ht="12.75">
      <c r="B188" s="18">
        <v>9</v>
      </c>
      <c r="C188" s="7" t="s">
        <v>119</v>
      </c>
      <c r="D188" s="42">
        <v>937.1071200000001</v>
      </c>
      <c r="E188" s="42">
        <v>-46.85535600000001</v>
      </c>
      <c r="F188" s="38">
        <f t="shared" si="3"/>
        <v>890.2517640000001</v>
      </c>
      <c r="G188" s="38"/>
      <c r="H188" s="38"/>
      <c r="I188" s="38">
        <f>-E$191*F188/F$191</f>
        <v>18.637111113841264</v>
      </c>
      <c r="J188" s="38">
        <f t="shared" si="4"/>
        <v>908.8888751138413</v>
      </c>
      <c r="K188" s="94"/>
      <c r="L188" s="95">
        <f>+J188/F188</f>
        <v>1.0209346522719625</v>
      </c>
    </row>
    <row r="189" spans="2:11" ht="13.5" thickBot="1">
      <c r="B189" s="18"/>
      <c r="C189" s="7" t="s">
        <v>120</v>
      </c>
      <c r="D189" s="38">
        <v>0</v>
      </c>
      <c r="E189" s="38"/>
      <c r="F189" s="38">
        <f t="shared" si="3"/>
        <v>0</v>
      </c>
      <c r="G189" s="38"/>
      <c r="H189" s="38"/>
      <c r="I189" s="38">
        <f>-E$191*F189/F$191</f>
        <v>0</v>
      </c>
      <c r="J189" s="38">
        <f t="shared" si="4"/>
        <v>0</v>
      </c>
      <c r="K189" s="94"/>
    </row>
    <row r="190" spans="2:10" ht="15" thickTop="1">
      <c r="B190" s="44"/>
      <c r="C190" s="44"/>
      <c r="D190" s="44"/>
      <c r="E190" s="44"/>
      <c r="F190" s="44"/>
      <c r="G190" s="44"/>
      <c r="H190" s="44"/>
      <c r="I190" s="44"/>
      <c r="J190" s="44"/>
    </row>
    <row r="191" spans="1:11" ht="12.75">
      <c r="A191" s="22"/>
      <c r="B191" s="18">
        <v>10</v>
      </c>
      <c r="C191" s="7" t="s">
        <v>1</v>
      </c>
      <c r="D191" s="50">
        <f aca="true" t="shared" si="5" ref="D191:J191">SUM(D176:D190)</f>
        <v>189172768.1317044</v>
      </c>
      <c r="E191" s="50">
        <f t="shared" si="5"/>
        <v>-3879059.361290903</v>
      </c>
      <c r="F191" s="50">
        <f t="shared" si="5"/>
        <v>185293708.77041352</v>
      </c>
      <c r="G191" s="50">
        <f t="shared" si="5"/>
        <v>0</v>
      </c>
      <c r="H191" s="50">
        <f t="shared" si="5"/>
        <v>0</v>
      </c>
      <c r="I191" s="50">
        <f t="shared" si="5"/>
        <v>3879059.361290902</v>
      </c>
      <c r="J191" s="50">
        <f t="shared" si="5"/>
        <v>189172768.1317044</v>
      </c>
      <c r="K191" s="22"/>
    </row>
    <row r="193" spans="2:11" ht="12.75">
      <c r="B193" s="103" t="s">
        <v>122</v>
      </c>
      <c r="C193" s="104"/>
      <c r="D193" s="104"/>
      <c r="E193" s="104"/>
      <c r="F193" s="104"/>
      <c r="G193" s="104"/>
      <c r="H193" s="104"/>
      <c r="I193" s="104"/>
      <c r="J193" s="104"/>
      <c r="K193" s="104"/>
    </row>
    <row r="194" spans="2:11" ht="12.75">
      <c r="B194" s="70" t="s">
        <v>123</v>
      </c>
      <c r="C194" s="104"/>
      <c r="D194" s="104"/>
      <c r="E194" s="104"/>
      <c r="F194" s="104"/>
      <c r="G194" s="104"/>
      <c r="H194" s="104"/>
      <c r="I194" s="104"/>
      <c r="J194" s="104"/>
      <c r="K194" s="104"/>
    </row>
    <row r="195" spans="2:11" ht="12.75">
      <c r="B195" s="104" t="s">
        <v>124</v>
      </c>
      <c r="C195" s="104"/>
      <c r="D195" s="104"/>
      <c r="E195" s="104"/>
      <c r="F195" s="104"/>
      <c r="G195" s="104"/>
      <c r="H195" s="104"/>
      <c r="I195" s="104"/>
      <c r="J195" s="104"/>
      <c r="K195" s="104"/>
    </row>
    <row r="196" spans="3:11" ht="12">
      <c r="C196" s="22"/>
      <c r="D196" s="22"/>
      <c r="E196" s="22"/>
      <c r="F196" s="22"/>
      <c r="G196" s="22"/>
      <c r="H196" s="22"/>
      <c r="I196" s="22"/>
      <c r="J196" s="22"/>
      <c r="K196" s="22"/>
    </row>
    <row r="197" spans="3:10" ht="12">
      <c r="C197" s="22"/>
      <c r="D197" s="22"/>
      <c r="E197" s="22"/>
      <c r="F197" s="22"/>
      <c r="G197" s="22"/>
      <c r="H197" s="22"/>
      <c r="I197" s="22"/>
      <c r="J197" s="22"/>
    </row>
    <row r="198" spans="2:8" ht="18">
      <c r="B198" s="13" t="s">
        <v>125</v>
      </c>
      <c r="C198" s="13"/>
      <c r="D198" s="13"/>
      <c r="E198" s="13"/>
      <c r="F198" s="13"/>
      <c r="G198" s="13"/>
      <c r="H198" s="13"/>
    </row>
    <row r="199" spans="2:8" ht="18">
      <c r="B199" s="13" t="s">
        <v>19</v>
      </c>
      <c r="C199" s="13"/>
      <c r="D199" s="13"/>
      <c r="E199" s="13"/>
      <c r="F199" s="13"/>
      <c r="G199" s="13"/>
      <c r="H199" s="13"/>
    </row>
    <row r="200" spans="2:7" ht="15">
      <c r="B200" s="25"/>
      <c r="C200" s="25"/>
      <c r="D200" s="25"/>
      <c r="E200" s="25"/>
      <c r="F200" s="25"/>
      <c r="G200" s="25"/>
    </row>
    <row r="201" spans="2:8" ht="15">
      <c r="B201" s="91"/>
      <c r="C201" s="91"/>
      <c r="D201" s="2">
        <v>-1</v>
      </c>
      <c r="E201" s="2">
        <v>-2</v>
      </c>
      <c r="F201" s="2">
        <v>-3</v>
      </c>
      <c r="G201" s="2">
        <v>-4</v>
      </c>
      <c r="H201" s="2">
        <v>-5</v>
      </c>
    </row>
    <row r="202" spans="2:8" ht="48">
      <c r="B202" s="1" t="s">
        <v>0</v>
      </c>
      <c r="C202" s="1" t="s">
        <v>126</v>
      </c>
      <c r="D202" s="47" t="s">
        <v>127</v>
      </c>
      <c r="E202" s="47" t="s">
        <v>116</v>
      </c>
      <c r="F202" s="47" t="s">
        <v>127</v>
      </c>
      <c r="G202" s="47" t="s">
        <v>128</v>
      </c>
      <c r="H202" s="47" t="s">
        <v>129</v>
      </c>
    </row>
    <row r="203" spans="2:8" ht="12.75">
      <c r="B203" s="4"/>
      <c r="C203" s="29" t="s">
        <v>130</v>
      </c>
      <c r="D203" s="30"/>
      <c r="E203" s="30"/>
      <c r="F203" s="30"/>
      <c r="G203" s="30"/>
      <c r="H203" s="30"/>
    </row>
    <row r="204" spans="2:11" ht="12.75">
      <c r="B204" s="18">
        <v>1</v>
      </c>
      <c r="C204" s="7" t="s">
        <v>9</v>
      </c>
      <c r="D204" s="66">
        <f>+F161</f>
        <v>1.73</v>
      </c>
      <c r="E204" s="66">
        <f>+$L$176</f>
        <v>1.0209346522719627</v>
      </c>
      <c r="F204" s="66">
        <f>+D204*E204</f>
        <v>1.7662169484304955</v>
      </c>
      <c r="G204" s="65">
        <v>1.0617296</v>
      </c>
      <c r="H204" s="66">
        <f>+D204*E204*G204</f>
        <v>1.8752448141703306</v>
      </c>
      <c r="K204" s="105"/>
    </row>
    <row r="205" spans="2:11" ht="12.75">
      <c r="B205" s="18">
        <v>2</v>
      </c>
      <c r="C205" s="7" t="s">
        <v>10</v>
      </c>
      <c r="D205" s="64">
        <f>F162</f>
        <v>2.249</v>
      </c>
      <c r="E205" s="64">
        <f>+$L$176</f>
        <v>1.0209346522719627</v>
      </c>
      <c r="F205" s="64">
        <f>+D205*E205</f>
        <v>2.296082032959644</v>
      </c>
      <c r="G205" s="65">
        <v>1.0617296</v>
      </c>
      <c r="H205" s="64">
        <f>+D205*E205*G205</f>
        <v>2.4378182584214296</v>
      </c>
      <c r="K205" s="105"/>
    </row>
    <row r="206" spans="2:11" ht="12.75">
      <c r="B206" s="18">
        <v>3</v>
      </c>
      <c r="C206" s="7" t="s">
        <v>121</v>
      </c>
      <c r="D206" s="64">
        <f>+D205</f>
        <v>2.249</v>
      </c>
      <c r="E206" s="64">
        <f>+$L$176</f>
        <v>1.0209346522719627</v>
      </c>
      <c r="F206" s="64">
        <f>+D206*E206</f>
        <v>2.296082032959644</v>
      </c>
      <c r="G206" s="65">
        <v>1.0617296</v>
      </c>
      <c r="H206" s="64">
        <f>+D206*E206*G206</f>
        <v>2.4378182584214296</v>
      </c>
      <c r="K206" s="105"/>
    </row>
    <row r="207" spans="2:8" ht="12.75">
      <c r="B207" s="4"/>
      <c r="C207" s="29" t="s">
        <v>131</v>
      </c>
      <c r="D207" s="30"/>
      <c r="E207" s="30"/>
      <c r="F207" s="30"/>
      <c r="G207" s="30"/>
      <c r="H207" s="30"/>
    </row>
    <row r="208" spans="2:8" ht="12.75">
      <c r="B208" s="18">
        <v>4</v>
      </c>
      <c r="C208" s="7" t="s">
        <v>9</v>
      </c>
      <c r="D208" s="64">
        <f>+F141</f>
        <v>14.92</v>
      </c>
      <c r="E208" s="64">
        <f>+$L$176</f>
        <v>1.0209346522719627</v>
      </c>
      <c r="F208" s="64">
        <f>+D208*E208</f>
        <v>15.232345011897683</v>
      </c>
      <c r="G208" s="65">
        <f>G$204</f>
        <v>1.0617296</v>
      </c>
      <c r="H208" s="64">
        <f>+D208*E208*G208</f>
        <v>16.172631576544124</v>
      </c>
    </row>
    <row r="209" spans="2:8" ht="12.75">
      <c r="B209" s="18"/>
      <c r="C209" s="7" t="s">
        <v>10</v>
      </c>
      <c r="D209" s="106"/>
      <c r="E209" s="106"/>
      <c r="F209" s="106"/>
      <c r="G209" s="107"/>
      <c r="H209" s="106"/>
    </row>
    <row r="210" spans="2:8" ht="12.75">
      <c r="B210" s="18">
        <v>5</v>
      </c>
      <c r="C210" s="7" t="s">
        <v>132</v>
      </c>
      <c r="D210" s="64">
        <f>+E142</f>
        <v>5.067</v>
      </c>
      <c r="E210" s="64">
        <f>+$L$176</f>
        <v>1.0209346522719627</v>
      </c>
      <c r="F210" s="64">
        <f>+D210*E210</f>
        <v>5.173075883062035</v>
      </c>
      <c r="G210" s="65">
        <f>G$204</f>
        <v>1.0617296</v>
      </c>
      <c r="H210" s="64">
        <f>+D210*E210*G210</f>
        <v>5.492407788093101</v>
      </c>
    </row>
    <row r="211" spans="2:8" ht="12.75">
      <c r="B211" s="18">
        <v>6</v>
      </c>
      <c r="C211" s="7" t="s">
        <v>133</v>
      </c>
      <c r="D211" s="64">
        <f>+D142</f>
        <v>0.718</v>
      </c>
      <c r="E211" s="64">
        <f>+$L$176</f>
        <v>1.0209346522719627</v>
      </c>
      <c r="F211" s="64">
        <f>+D211*E211</f>
        <v>0.7330310803312692</v>
      </c>
      <c r="G211" s="65">
        <f>G$204</f>
        <v>1.0617296</v>
      </c>
      <c r="H211" s="64">
        <f>+D211*E211*G211</f>
        <v>0.7782807957076864</v>
      </c>
    </row>
    <row r="212" spans="2:8" ht="12.75">
      <c r="B212" s="18"/>
      <c r="C212" s="7" t="s">
        <v>121</v>
      </c>
      <c r="D212" s="106"/>
      <c r="E212" s="106"/>
      <c r="F212" s="106"/>
      <c r="G212" s="107"/>
      <c r="H212" s="106"/>
    </row>
    <row r="213" spans="2:8" ht="12.75">
      <c r="B213" s="18">
        <v>7</v>
      </c>
      <c r="C213" s="7" t="s">
        <v>132</v>
      </c>
      <c r="D213" s="64">
        <f>+D210</f>
        <v>5.067</v>
      </c>
      <c r="E213" s="64">
        <f>+$L$176</f>
        <v>1.0209346522719627</v>
      </c>
      <c r="F213" s="64">
        <f>+D213*E213</f>
        <v>5.173075883062035</v>
      </c>
      <c r="G213" s="65">
        <f>G$204</f>
        <v>1.0617296</v>
      </c>
      <c r="H213" s="64">
        <f>+D213*E213*G213</f>
        <v>5.492407788093101</v>
      </c>
    </row>
    <row r="214" spans="2:8" ht="12.75">
      <c r="B214" s="18">
        <v>8</v>
      </c>
      <c r="C214" s="7" t="s">
        <v>133</v>
      </c>
      <c r="D214" s="64">
        <f>+D211</f>
        <v>0.718</v>
      </c>
      <c r="E214" s="64">
        <f>+$L$176</f>
        <v>1.0209346522719627</v>
      </c>
      <c r="F214" s="64">
        <f>+D214*E214</f>
        <v>0.7330310803312692</v>
      </c>
      <c r="G214" s="65">
        <f>G$204</f>
        <v>1.0617296</v>
      </c>
      <c r="H214" s="64">
        <f>+D214*E214*G214</f>
        <v>0.7782807957076864</v>
      </c>
    </row>
    <row r="216" spans="2:10" ht="12.75">
      <c r="B216" s="103" t="s">
        <v>122</v>
      </c>
      <c r="C216" s="104" t="s">
        <v>134</v>
      </c>
      <c r="D216" s="104"/>
      <c r="E216" s="104"/>
      <c r="F216" s="104"/>
      <c r="G216" s="104"/>
      <c r="H216" s="104"/>
      <c r="I216" s="104"/>
      <c r="J216" s="104"/>
    </row>
    <row r="217" spans="2:10" ht="12.75">
      <c r="B217" s="103"/>
      <c r="C217" s="104"/>
      <c r="D217" s="104"/>
      <c r="E217" s="104"/>
      <c r="F217" s="104"/>
      <c r="G217" s="104"/>
      <c r="H217" s="104"/>
      <c r="I217" s="104"/>
      <c r="J217" s="104"/>
    </row>
    <row r="218" spans="2:10" ht="12.75">
      <c r="B218" s="103"/>
      <c r="C218" s="104"/>
      <c r="D218" s="104"/>
      <c r="E218" s="104"/>
      <c r="F218" s="104"/>
      <c r="G218" s="104"/>
      <c r="H218" s="104"/>
      <c r="I218" s="104"/>
      <c r="J218" s="104"/>
    </row>
    <row r="219" spans="2:10" ht="15">
      <c r="B219" s="108" t="s">
        <v>135</v>
      </c>
      <c r="C219" s="108"/>
      <c r="D219" s="108"/>
      <c r="E219" s="108"/>
      <c r="F219" s="108"/>
      <c r="G219" s="104"/>
      <c r="H219" s="104"/>
      <c r="I219" s="104"/>
      <c r="J219" s="104"/>
    </row>
    <row r="220" spans="2:10" ht="15">
      <c r="B220" s="108" t="s">
        <v>136</v>
      </c>
      <c r="C220" s="108"/>
      <c r="D220" s="108"/>
      <c r="E220" s="108"/>
      <c r="F220" s="108"/>
      <c r="G220" s="104"/>
      <c r="H220" s="104"/>
      <c r="I220" s="104"/>
      <c r="J220" s="104"/>
    </row>
    <row r="221" spans="2:10" ht="15">
      <c r="B221" s="72"/>
      <c r="C221" s="72"/>
      <c r="D221" s="72"/>
      <c r="E221" s="72"/>
      <c r="F221" s="104"/>
      <c r="G221" s="104"/>
      <c r="H221" s="104"/>
      <c r="I221" s="104"/>
      <c r="J221" s="104"/>
    </row>
    <row r="222" spans="2:10" ht="15">
      <c r="B222" s="91"/>
      <c r="C222" s="91"/>
      <c r="D222" s="2">
        <v>-1</v>
      </c>
      <c r="E222" s="2">
        <v>-2</v>
      </c>
      <c r="F222" s="2">
        <v>-3</v>
      </c>
      <c r="G222" s="104"/>
      <c r="H222" s="104"/>
      <c r="I222" s="104"/>
      <c r="J222" s="104"/>
    </row>
    <row r="223" spans="2:10" ht="48">
      <c r="B223" s="1" t="s">
        <v>0</v>
      </c>
      <c r="C223" s="1" t="s">
        <v>92</v>
      </c>
      <c r="D223" s="47" t="s">
        <v>137</v>
      </c>
      <c r="E223" s="47" t="s">
        <v>138</v>
      </c>
      <c r="F223" s="47" t="s">
        <v>139</v>
      </c>
      <c r="G223" s="104"/>
      <c r="H223" s="104"/>
      <c r="I223" s="104"/>
      <c r="J223" s="104"/>
    </row>
    <row r="224" spans="2:10" ht="12.75">
      <c r="B224" s="5" t="s">
        <v>140</v>
      </c>
      <c r="C224" s="4"/>
      <c r="D224" s="4"/>
      <c r="E224" s="4"/>
      <c r="F224" s="4"/>
      <c r="G224" s="104"/>
      <c r="H224" s="104"/>
      <c r="I224" s="104"/>
      <c r="J224" s="104"/>
    </row>
    <row r="225" spans="2:10" ht="12.75">
      <c r="B225" s="18">
        <v>1</v>
      </c>
      <c r="C225" s="109" t="s">
        <v>141</v>
      </c>
      <c r="D225" s="66">
        <f>H208</f>
        <v>16.172631576544124</v>
      </c>
      <c r="E225" s="66">
        <f>D225</f>
        <v>16.172631576544124</v>
      </c>
      <c r="F225" s="66"/>
      <c r="G225" s="104"/>
      <c r="H225" s="104"/>
      <c r="I225" s="104"/>
      <c r="J225" s="104"/>
    </row>
    <row r="226" spans="2:10" ht="12.75">
      <c r="B226" s="5" t="s">
        <v>142</v>
      </c>
      <c r="C226" s="4"/>
      <c r="D226" s="4"/>
      <c r="E226" s="4"/>
      <c r="F226" s="4"/>
      <c r="G226" s="104"/>
      <c r="H226" s="104"/>
      <c r="I226" s="104"/>
      <c r="J226" s="104"/>
    </row>
    <row r="227" spans="2:10" ht="12.75">
      <c r="B227" s="18">
        <v>2</v>
      </c>
      <c r="C227" s="109" t="s">
        <v>143</v>
      </c>
      <c r="D227" s="66">
        <f>H204</f>
        <v>1.8752448141703306</v>
      </c>
      <c r="E227" s="66">
        <f>D227</f>
        <v>1.8752448141703306</v>
      </c>
      <c r="F227" s="66"/>
      <c r="G227" s="104"/>
      <c r="H227" s="104"/>
      <c r="I227" s="104"/>
      <c r="J227" s="104"/>
    </row>
    <row r="228" spans="2:10" ht="12.75">
      <c r="B228" s="110"/>
      <c r="C228" s="111"/>
      <c r="D228" s="112"/>
      <c r="E228" s="113"/>
      <c r="F228" s="104"/>
      <c r="G228" s="104"/>
      <c r="H228" s="104"/>
      <c r="I228" s="104"/>
      <c r="J228" s="104"/>
    </row>
    <row r="229" spans="2:10" ht="12.75">
      <c r="B229" s="103"/>
      <c r="C229" s="104"/>
      <c r="D229" s="104"/>
      <c r="E229" s="104"/>
      <c r="F229" s="104"/>
      <c r="G229" s="104"/>
      <c r="H229" s="104"/>
      <c r="I229" s="104"/>
      <c r="J229" s="104"/>
    </row>
    <row r="230" spans="2:10" ht="15">
      <c r="B230" s="108" t="s">
        <v>144</v>
      </c>
      <c r="C230" s="108"/>
      <c r="D230" s="108"/>
      <c r="E230" s="108"/>
      <c r="F230" s="108"/>
      <c r="G230" s="104"/>
      <c r="H230" s="104"/>
      <c r="I230" s="104"/>
      <c r="J230" s="104"/>
    </row>
    <row r="231" spans="2:10" ht="15">
      <c r="B231" s="108" t="s">
        <v>145</v>
      </c>
      <c r="C231" s="108"/>
      <c r="D231" s="108"/>
      <c r="E231" s="108"/>
      <c r="F231" s="108"/>
      <c r="G231" s="104"/>
      <c r="H231" s="104"/>
      <c r="I231" s="104"/>
      <c r="J231" s="104"/>
    </row>
    <row r="232" spans="2:10" ht="15">
      <c r="B232" s="72"/>
      <c r="C232" s="72"/>
      <c r="D232" s="72"/>
      <c r="E232" s="72"/>
      <c r="F232" s="104"/>
      <c r="G232" s="104"/>
      <c r="H232" s="104"/>
      <c r="I232" s="104"/>
      <c r="J232" s="104"/>
    </row>
    <row r="233" spans="2:10" ht="15">
      <c r="B233" s="91"/>
      <c r="C233" s="91"/>
      <c r="D233" s="2">
        <v>-1</v>
      </c>
      <c r="E233" s="2">
        <v>-2</v>
      </c>
      <c r="F233" s="2">
        <v>-3</v>
      </c>
      <c r="G233" s="104"/>
      <c r="H233" s="104"/>
      <c r="I233" s="104"/>
      <c r="J233" s="104"/>
    </row>
    <row r="234" spans="2:10" ht="48">
      <c r="B234" s="1" t="s">
        <v>0</v>
      </c>
      <c r="C234" s="1" t="s">
        <v>92</v>
      </c>
      <c r="D234" s="47" t="s">
        <v>137</v>
      </c>
      <c r="E234" s="47" t="s">
        <v>137</v>
      </c>
      <c r="F234" s="47" t="s">
        <v>138</v>
      </c>
      <c r="G234" s="104"/>
      <c r="H234" s="104"/>
      <c r="I234" s="104"/>
      <c r="J234" s="104"/>
    </row>
    <row r="235" spans="2:10" ht="12.75">
      <c r="B235" s="5" t="s">
        <v>140</v>
      </c>
      <c r="C235" s="5"/>
      <c r="D235" s="5"/>
      <c r="E235" s="5"/>
      <c r="F235" s="5"/>
      <c r="G235" s="104"/>
      <c r="H235" s="104"/>
      <c r="I235" s="104"/>
      <c r="J235" s="104"/>
    </row>
    <row r="236" spans="2:10" ht="12.75">
      <c r="B236" s="18">
        <v>1</v>
      </c>
      <c r="C236" s="7" t="s">
        <v>146</v>
      </c>
      <c r="D236" s="66">
        <f>D225</f>
        <v>16.172631576544124</v>
      </c>
      <c r="E236" s="66">
        <f>D236</f>
        <v>16.172631576544124</v>
      </c>
      <c r="F236" s="66"/>
      <c r="G236" s="104"/>
      <c r="H236" s="114"/>
      <c r="I236" s="104"/>
      <c r="J236" s="104"/>
    </row>
    <row r="237" spans="2:10" ht="12.75">
      <c r="B237" s="18">
        <v>2</v>
      </c>
      <c r="C237" s="7" t="s">
        <v>147</v>
      </c>
      <c r="D237" s="65">
        <f>H211</f>
        <v>0.7782807957076864</v>
      </c>
      <c r="E237" s="65">
        <f>D237</f>
        <v>0.7782807957076864</v>
      </c>
      <c r="F237" s="65"/>
      <c r="G237" s="104"/>
      <c r="H237" s="114"/>
      <c r="I237" s="104"/>
      <c r="J237" s="104"/>
    </row>
    <row r="238" spans="2:10" ht="12.75">
      <c r="B238" s="18">
        <v>3</v>
      </c>
      <c r="C238" s="7" t="s">
        <v>148</v>
      </c>
      <c r="D238" s="65">
        <f>H210</f>
        <v>5.492407788093101</v>
      </c>
      <c r="E238" s="65">
        <f>D238</f>
        <v>5.492407788093101</v>
      </c>
      <c r="F238" s="65"/>
      <c r="G238" s="104"/>
      <c r="H238" s="114"/>
      <c r="I238" s="104"/>
      <c r="J238" s="104"/>
    </row>
    <row r="239" spans="2:10" ht="12.75">
      <c r="B239" s="5" t="s">
        <v>142</v>
      </c>
      <c r="C239" s="4"/>
      <c r="D239" s="4"/>
      <c r="E239" s="4"/>
      <c r="F239" s="4"/>
      <c r="G239" s="104"/>
      <c r="H239" s="114"/>
      <c r="I239" s="104"/>
      <c r="J239" s="104"/>
    </row>
    <row r="240" spans="2:10" ht="12.75">
      <c r="B240" s="18">
        <v>4</v>
      </c>
      <c r="C240" s="7" t="s">
        <v>143</v>
      </c>
      <c r="D240" s="66">
        <f>H205</f>
        <v>2.4378182584214296</v>
      </c>
      <c r="E240" s="66">
        <f>D240</f>
        <v>2.4378182584214296</v>
      </c>
      <c r="F240" s="66"/>
      <c r="G240" s="104"/>
      <c r="H240" s="104"/>
      <c r="I240" s="104"/>
      <c r="J240" s="10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0" bestFit="1" customWidth="1"/>
    <col min="3" max="3" width="36.140625" style="0" customWidth="1"/>
    <col min="4" max="4" width="15.140625" style="0" customWidth="1"/>
    <col min="5" max="5" width="14.00390625" style="0" customWidth="1"/>
    <col min="6" max="6" width="16.421875" style="0" bestFit="1" customWidth="1"/>
    <col min="7" max="7" width="14.421875" style="0" bestFit="1" customWidth="1"/>
    <col min="8" max="8" width="11.00390625" style="0" customWidth="1"/>
    <col min="9" max="9" width="11.00390625" style="0" bestFit="1" customWidth="1"/>
    <col min="10" max="10" width="13.140625" style="0" bestFit="1" customWidth="1"/>
    <col min="11" max="11" width="12.57421875" style="0" customWidth="1"/>
    <col min="12" max="12" width="12.421875" style="0" customWidth="1"/>
  </cols>
  <sheetData>
    <row r="1" spans="1:3" ht="14.25">
      <c r="A1" s="10" t="s">
        <v>2</v>
      </c>
      <c r="B1" s="11" t="s">
        <v>3</v>
      </c>
      <c r="C1" s="12"/>
    </row>
    <row r="3" spans="2:17" ht="27.75" customHeight="1">
      <c r="B3" s="127" t="s">
        <v>180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6" spans="2:5" ht="54">
      <c r="B6" s="120" t="s">
        <v>4</v>
      </c>
      <c r="C6" s="120"/>
      <c r="D6" s="120"/>
      <c r="E6" s="120"/>
    </row>
    <row r="7" spans="2:5" ht="18">
      <c r="B7" s="120"/>
      <c r="C7" s="120"/>
      <c r="D7" s="120"/>
      <c r="E7" s="120"/>
    </row>
    <row r="8" ht="12">
      <c r="G8" s="14"/>
    </row>
    <row r="9" spans="2:7" ht="15">
      <c r="B9" s="15"/>
      <c r="C9" s="15"/>
      <c r="D9" s="2">
        <v>-1</v>
      </c>
      <c r="E9" s="2">
        <v>-2</v>
      </c>
      <c r="G9" s="14"/>
    </row>
    <row r="10" spans="2:7" ht="15.75">
      <c r="B10" s="1" t="s">
        <v>0</v>
      </c>
      <c r="C10" s="1" t="s">
        <v>5</v>
      </c>
      <c r="D10" s="3" t="s">
        <v>6</v>
      </c>
      <c r="E10" s="3" t="s">
        <v>7</v>
      </c>
      <c r="G10" s="14"/>
    </row>
    <row r="11" spans="2:7" ht="14.25">
      <c r="B11" s="16"/>
      <c r="C11" s="16" t="s">
        <v>8</v>
      </c>
      <c r="D11" s="17"/>
      <c r="E11" s="17"/>
      <c r="G11" s="14"/>
    </row>
    <row r="12" spans="2:7" ht="12.75">
      <c r="B12" s="18">
        <v>1</v>
      </c>
      <c r="C12" s="7" t="s">
        <v>9</v>
      </c>
      <c r="D12" s="19">
        <v>462669.6964285714</v>
      </c>
      <c r="E12" s="19">
        <v>462669.54464285716</v>
      </c>
      <c r="G12" s="14"/>
    </row>
    <row r="13" spans="2:7" ht="12.75">
      <c r="B13" s="18">
        <v>2</v>
      </c>
      <c r="C13" s="7" t="s">
        <v>10</v>
      </c>
      <c r="D13" s="19">
        <v>73240.30357142857</v>
      </c>
      <c r="E13" s="19">
        <v>73223.45535714287</v>
      </c>
      <c r="G13" s="14"/>
    </row>
    <row r="14" spans="2:7" ht="12.75">
      <c r="B14" s="18">
        <v>3</v>
      </c>
      <c r="C14" s="7" t="s">
        <v>11</v>
      </c>
      <c r="D14" s="19">
        <v>2181</v>
      </c>
      <c r="E14" s="19">
        <v>2181</v>
      </c>
      <c r="G14" s="14"/>
    </row>
    <row r="15" spans="2:7" ht="12">
      <c r="B15" s="20"/>
      <c r="C15" s="20"/>
      <c r="D15" s="21"/>
      <c r="E15" s="21"/>
      <c r="G15" s="14"/>
    </row>
    <row r="16" spans="1:7" ht="12.75">
      <c r="A16" s="22"/>
      <c r="B16" s="18">
        <v>4</v>
      </c>
      <c r="C16" s="7" t="s">
        <v>12</v>
      </c>
      <c r="D16" s="23">
        <f>SUM(D12:D15)</f>
        <v>538091</v>
      </c>
      <c r="E16" s="23">
        <f>SUM(E12:E15)</f>
        <v>538074</v>
      </c>
      <c r="F16" s="22"/>
      <c r="G16" s="14"/>
    </row>
    <row r="17" spans="2:7" ht="12">
      <c r="B17" s="24"/>
      <c r="C17" s="24"/>
      <c r="D17" s="24"/>
      <c r="E17" s="24"/>
      <c r="G17" s="14"/>
    </row>
    <row r="18" spans="2:7" ht="14.25">
      <c r="B18" s="16" t="s">
        <v>13</v>
      </c>
      <c r="C18" s="16"/>
      <c r="D18" s="17"/>
      <c r="E18" s="17"/>
      <c r="G18" s="14"/>
    </row>
    <row r="19" spans="2:7" ht="12.75">
      <c r="B19" s="18">
        <v>5</v>
      </c>
      <c r="C19" s="7" t="s">
        <v>9</v>
      </c>
      <c r="D19" s="19">
        <v>555203.5415387482</v>
      </c>
      <c r="E19" s="19">
        <v>555203.3123081224</v>
      </c>
      <c r="G19" s="14"/>
    </row>
    <row r="20" spans="2:7" ht="12.75">
      <c r="B20" s="18">
        <v>6</v>
      </c>
      <c r="C20" s="7" t="s">
        <v>10</v>
      </c>
      <c r="D20" s="19">
        <v>606074.0087813605</v>
      </c>
      <c r="E20" s="19">
        <v>600158.1610685977</v>
      </c>
      <c r="G20" s="14"/>
    </row>
    <row r="21" spans="2:7" ht="12.75">
      <c r="B21" s="18">
        <v>7</v>
      </c>
      <c r="C21" s="7" t="s">
        <v>11</v>
      </c>
      <c r="D21" s="19">
        <v>20729.358679891033</v>
      </c>
      <c r="E21" s="19">
        <v>20476.56262327985</v>
      </c>
      <c r="G21" s="14"/>
    </row>
    <row r="22" spans="2:7" ht="12">
      <c r="B22" s="20"/>
      <c r="C22" s="20"/>
      <c r="D22" s="21"/>
      <c r="E22" s="21"/>
      <c r="G22" s="14"/>
    </row>
    <row r="23" spans="1:7" ht="12.75">
      <c r="A23" s="22"/>
      <c r="B23" s="18">
        <v>8</v>
      </c>
      <c r="C23" s="7" t="s">
        <v>14</v>
      </c>
      <c r="D23" s="23">
        <f>SUM(D19:D22)</f>
        <v>1182006.9089999998</v>
      </c>
      <c r="E23" s="23">
        <f>SUM(E19:E22)</f>
        <v>1175838.036</v>
      </c>
      <c r="F23" s="22"/>
      <c r="G23" s="14"/>
    </row>
    <row r="24" spans="2:7" ht="12">
      <c r="B24" s="24"/>
      <c r="C24" s="24"/>
      <c r="D24" s="24"/>
      <c r="E24" s="24"/>
      <c r="G24" s="14"/>
    </row>
    <row r="25" spans="2:7" ht="14.25">
      <c r="B25" s="16"/>
      <c r="C25" s="16" t="s">
        <v>15</v>
      </c>
      <c r="D25" s="17"/>
      <c r="E25" s="17"/>
      <c r="G25" s="14"/>
    </row>
    <row r="26" spans="2:7" ht="12.75">
      <c r="B26" s="18">
        <v>9</v>
      </c>
      <c r="C26" s="7" t="s">
        <v>9</v>
      </c>
      <c r="D26" s="19">
        <v>976231.7801720412</v>
      </c>
      <c r="E26" s="19">
        <v>976230.8202580618</v>
      </c>
      <c r="G26" s="14"/>
    </row>
    <row r="27" spans="2:7" ht="12.75">
      <c r="B27" s="18">
        <v>10</v>
      </c>
      <c r="C27" s="7" t="s">
        <v>10</v>
      </c>
      <c r="D27" s="19">
        <v>1083413.6537617554</v>
      </c>
      <c r="E27" s="19">
        <v>1069072.8657339911</v>
      </c>
      <c r="G27" s="14"/>
    </row>
    <row r="28" spans="2:7" ht="12.75">
      <c r="B28" s="18">
        <v>11</v>
      </c>
      <c r="C28" s="7" t="s">
        <v>11</v>
      </c>
      <c r="D28" s="19">
        <v>28684.14306620331</v>
      </c>
      <c r="E28" s="19">
        <v>28353.12800794687</v>
      </c>
      <c r="G28" s="14"/>
    </row>
    <row r="29" spans="2:5" ht="12">
      <c r="B29" s="20"/>
      <c r="C29" s="20"/>
      <c r="D29" s="21"/>
      <c r="E29" s="21"/>
    </row>
    <row r="30" spans="1:6" ht="12.75">
      <c r="A30" s="22"/>
      <c r="B30" s="18">
        <v>12</v>
      </c>
      <c r="C30" s="7" t="s">
        <v>16</v>
      </c>
      <c r="D30" s="23">
        <f>SUM(D26:D29)</f>
        <v>2088329.5769999998</v>
      </c>
      <c r="E30" s="23">
        <f>SUM(E26:E29)</f>
        <v>2073656.8139999995</v>
      </c>
      <c r="F30" s="22"/>
    </row>
    <row r="33" spans="2:17" ht="18" hidden="1">
      <c r="B33" s="13" t="s">
        <v>17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2:17" ht="18" hidden="1">
      <c r="B34" s="13" t="s">
        <v>18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2:17" ht="18" hidden="1">
      <c r="B35" s="13" t="s">
        <v>19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2:11" ht="15" hidden="1"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2:17" ht="15" hidden="1">
      <c r="B37" s="15"/>
      <c r="C37" s="15"/>
      <c r="D37" s="2">
        <v>-1</v>
      </c>
      <c r="E37" s="2">
        <v>-2</v>
      </c>
      <c r="F37" s="2">
        <v>-3</v>
      </c>
      <c r="G37" s="2">
        <v>-4</v>
      </c>
      <c r="H37" s="2">
        <v>-5</v>
      </c>
      <c r="I37" s="2">
        <v>-6</v>
      </c>
      <c r="J37" s="2">
        <v>-7</v>
      </c>
      <c r="K37" s="2">
        <v>-8</v>
      </c>
      <c r="L37" s="2">
        <f aca="true" t="shared" si="0" ref="L37:Q37">K37-1</f>
        <v>-9</v>
      </c>
      <c r="M37" s="2">
        <f t="shared" si="0"/>
        <v>-10</v>
      </c>
      <c r="N37" s="2">
        <f t="shared" si="0"/>
        <v>-11</v>
      </c>
      <c r="O37" s="2">
        <f t="shared" si="0"/>
        <v>-12</v>
      </c>
      <c r="P37" s="2">
        <f t="shared" si="0"/>
        <v>-13</v>
      </c>
      <c r="Q37" s="2">
        <f t="shared" si="0"/>
        <v>-14</v>
      </c>
    </row>
    <row r="38" spans="2:17" ht="15.75" hidden="1">
      <c r="B38" s="26"/>
      <c r="C38" s="26"/>
      <c r="D38" s="26"/>
      <c r="E38" s="27" t="s">
        <v>20</v>
      </c>
      <c r="F38" s="27"/>
      <c r="G38" s="27"/>
      <c r="H38" s="27"/>
      <c r="I38" s="27" t="s">
        <v>21</v>
      </c>
      <c r="J38" s="27"/>
      <c r="K38" s="27"/>
      <c r="L38" s="27"/>
      <c r="M38" s="27" t="s">
        <v>22</v>
      </c>
      <c r="N38" s="27"/>
      <c r="O38" s="27"/>
      <c r="P38" s="27" t="s">
        <v>23</v>
      </c>
      <c r="Q38" s="27"/>
    </row>
    <row r="39" spans="2:17" ht="63.75" hidden="1">
      <c r="B39" s="1" t="s">
        <v>0</v>
      </c>
      <c r="C39" s="1" t="s">
        <v>24</v>
      </c>
      <c r="D39" s="28" t="s">
        <v>25</v>
      </c>
      <c r="E39" s="3" t="s">
        <v>26</v>
      </c>
      <c r="F39" s="3" t="s">
        <v>27</v>
      </c>
      <c r="G39" s="3" t="s">
        <v>28</v>
      </c>
      <c r="H39" s="3" t="s">
        <v>29</v>
      </c>
      <c r="I39" s="3" t="s">
        <v>30</v>
      </c>
      <c r="J39" s="3" t="s">
        <v>31</v>
      </c>
      <c r="K39" s="3" t="s">
        <v>32</v>
      </c>
      <c r="L39" s="3" t="s">
        <v>33</v>
      </c>
      <c r="M39" s="3" t="s">
        <v>34</v>
      </c>
      <c r="N39" s="3" t="s">
        <v>35</v>
      </c>
      <c r="O39" s="3" t="s">
        <v>36</v>
      </c>
      <c r="P39" s="3" t="s">
        <v>37</v>
      </c>
      <c r="Q39" s="3" t="s">
        <v>38</v>
      </c>
    </row>
    <row r="40" spans="2:17" ht="12.75" hidden="1">
      <c r="B40" s="4"/>
      <c r="C40" s="29" t="s">
        <v>39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2:17" ht="12.75" hidden="1">
      <c r="B41" s="18">
        <v>1</v>
      </c>
      <c r="C41" s="7" t="s">
        <v>40</v>
      </c>
      <c r="D41" s="31">
        <f>SUM(E41:Q41)</f>
        <v>1098038.4</v>
      </c>
      <c r="E41" s="32">
        <v>0</v>
      </c>
      <c r="F41" s="32">
        <v>0</v>
      </c>
      <c r="G41" s="32">
        <v>1098038.4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</row>
    <row r="42" spans="2:17" ht="12.75" hidden="1">
      <c r="B42" s="18">
        <v>2</v>
      </c>
      <c r="C42" s="7" t="s">
        <v>41</v>
      </c>
      <c r="D42" s="33">
        <f>SUM(E42:Q42)</f>
        <v>95942.63429289404</v>
      </c>
      <c r="E42" s="34">
        <v>0</v>
      </c>
      <c r="F42" s="34">
        <v>0</v>
      </c>
      <c r="G42" s="34">
        <v>65875.8</v>
      </c>
      <c r="H42" s="34">
        <v>18122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11944.83429289404</v>
      </c>
      <c r="O42" s="34">
        <v>0</v>
      </c>
      <c r="P42" s="34">
        <v>0</v>
      </c>
      <c r="Q42" s="34">
        <v>0</v>
      </c>
    </row>
    <row r="43" spans="2:17" ht="12.75" hidden="1">
      <c r="B43" s="18">
        <v>3</v>
      </c>
      <c r="C43" s="7" t="s">
        <v>42</v>
      </c>
      <c r="D43" s="33">
        <f>SUM(E43:Q43)</f>
        <v>48396.4</v>
      </c>
      <c r="E43" s="34">
        <v>0</v>
      </c>
      <c r="F43" s="34">
        <v>0</v>
      </c>
      <c r="G43" s="34">
        <v>48396.4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</row>
    <row r="44" spans="1:17" ht="12.75" hidden="1">
      <c r="A44" s="22"/>
      <c r="B44" s="18">
        <v>4</v>
      </c>
      <c r="C44" s="7" t="s">
        <v>43</v>
      </c>
      <c r="D44" s="33">
        <f>SUM(E44:Q44)</f>
        <v>21937.5</v>
      </c>
      <c r="E44" s="34">
        <v>0</v>
      </c>
      <c r="F44" s="34">
        <v>0</v>
      </c>
      <c r="G44" s="34">
        <v>21937.5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</row>
    <row r="45" spans="2:17" ht="12.75" hidden="1">
      <c r="B45" s="35"/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2:17" ht="12.75" hidden="1">
      <c r="B46" s="18">
        <v>5</v>
      </c>
      <c r="C46" s="7" t="s">
        <v>44</v>
      </c>
      <c r="D46" s="33">
        <f>SUM(E46:Q46)</f>
        <v>166276.53429289407</v>
      </c>
      <c r="E46" s="38">
        <f>SUM(E42:E45)</f>
        <v>0</v>
      </c>
      <c r="F46" s="38">
        <f>SUM(F42:F45)</f>
        <v>0</v>
      </c>
      <c r="G46" s="38">
        <f>SUM(G42:G45)</f>
        <v>136209.7</v>
      </c>
      <c r="H46" s="38">
        <f aca="true" t="shared" si="1" ref="H46:N46">SUM(H42:H45)</f>
        <v>18122</v>
      </c>
      <c r="I46" s="38">
        <f t="shared" si="1"/>
        <v>0</v>
      </c>
      <c r="J46" s="38">
        <f t="shared" si="1"/>
        <v>0</v>
      </c>
      <c r="K46" s="38">
        <f t="shared" si="1"/>
        <v>0</v>
      </c>
      <c r="L46" s="38">
        <f t="shared" si="1"/>
        <v>0</v>
      </c>
      <c r="M46" s="38">
        <f t="shared" si="1"/>
        <v>0</v>
      </c>
      <c r="N46" s="38">
        <f t="shared" si="1"/>
        <v>11944.83429289404</v>
      </c>
      <c r="O46" s="38">
        <f>SUM(O42:O45)</f>
        <v>0</v>
      </c>
      <c r="P46" s="38">
        <f>SUM(P42:P45)</f>
        <v>0</v>
      </c>
      <c r="Q46" s="38">
        <f>SUM(Q42:Q45)</f>
        <v>0</v>
      </c>
    </row>
    <row r="47" spans="2:17" ht="12.75" hidden="1">
      <c r="B47" s="39"/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2:17" ht="12.75" hidden="1">
      <c r="B48" s="4"/>
      <c r="C48" s="29" t="s">
        <v>45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2:17" ht="13.5" hidden="1" thickBot="1">
      <c r="B49" s="18">
        <v>6</v>
      </c>
      <c r="C49" s="7" t="s">
        <v>46</v>
      </c>
      <c r="D49" s="33">
        <f>SUM(E49:Q49)</f>
        <v>21139.9626225231</v>
      </c>
      <c r="E49" s="42">
        <v>555.0066114405644</v>
      </c>
      <c r="F49" s="42">
        <v>4267.306587963629</v>
      </c>
      <c r="G49" s="42">
        <v>0</v>
      </c>
      <c r="H49" s="42">
        <v>0</v>
      </c>
      <c r="I49" s="42">
        <v>6750.341239147378</v>
      </c>
      <c r="J49" s="42">
        <v>4971.821502486066</v>
      </c>
      <c r="K49" s="42">
        <v>4038.712170008457</v>
      </c>
      <c r="L49" s="43">
        <v>556.7745114770069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</row>
    <row r="50" spans="2:17" ht="15" hidden="1" thickTop="1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5"/>
    </row>
    <row r="51" spans="2:17" ht="12.75" hidden="1">
      <c r="B51" s="18">
        <v>7</v>
      </c>
      <c r="C51" s="7" t="s">
        <v>1</v>
      </c>
      <c r="D51" s="33">
        <f>SUM(E51:Q51)</f>
        <v>187416.49691541714</v>
      </c>
      <c r="E51" s="46">
        <f>E46+E49</f>
        <v>555.0066114405644</v>
      </c>
      <c r="F51" s="46">
        <f aca="true" t="shared" si="2" ref="F51:Q51">F46+F49</f>
        <v>4267.306587963629</v>
      </c>
      <c r="G51" s="46">
        <f t="shared" si="2"/>
        <v>136209.7</v>
      </c>
      <c r="H51" s="46">
        <f t="shared" si="2"/>
        <v>18122</v>
      </c>
      <c r="I51" s="46">
        <f t="shared" si="2"/>
        <v>6750.341239147378</v>
      </c>
      <c r="J51" s="46">
        <f t="shared" si="2"/>
        <v>4971.821502486066</v>
      </c>
      <c r="K51" s="46">
        <f t="shared" si="2"/>
        <v>4038.712170008457</v>
      </c>
      <c r="L51" s="46">
        <f t="shared" si="2"/>
        <v>556.7745114770069</v>
      </c>
      <c r="M51" s="46">
        <f>M46+M49</f>
        <v>0</v>
      </c>
      <c r="N51" s="46">
        <f t="shared" si="2"/>
        <v>11944.83429289404</v>
      </c>
      <c r="O51" s="46">
        <f t="shared" si="2"/>
        <v>0</v>
      </c>
      <c r="P51" s="46">
        <f t="shared" si="2"/>
        <v>0</v>
      </c>
      <c r="Q51" s="46">
        <f t="shared" si="2"/>
        <v>0</v>
      </c>
    </row>
    <row r="52" spans="2:11" ht="12" hidden="1"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ht="12" hidden="1"/>
    <row r="54" ht="12" hidden="1"/>
    <row r="55" ht="12" hidden="1"/>
    <row r="56" ht="12" hidden="1"/>
    <row r="61" spans="2:5" ht="15">
      <c r="B61" s="108" t="s">
        <v>47</v>
      </c>
      <c r="C61" s="108"/>
      <c r="D61" s="108"/>
      <c r="E61" s="108"/>
    </row>
    <row r="62" spans="2:5" ht="15">
      <c r="B62" s="108" t="s">
        <v>18</v>
      </c>
      <c r="C62" s="108"/>
      <c r="D62" s="108"/>
      <c r="E62" s="108"/>
    </row>
    <row r="63" spans="2:5" ht="15">
      <c r="B63" s="108" t="s">
        <v>19</v>
      </c>
      <c r="C63" s="108"/>
      <c r="D63" s="108"/>
      <c r="E63" s="108"/>
    </row>
    <row r="64" spans="2:5" ht="15">
      <c r="B64" s="25"/>
      <c r="C64" s="25"/>
      <c r="D64" s="25"/>
      <c r="E64" s="25"/>
    </row>
    <row r="65" spans="2:5" ht="15.75">
      <c r="B65" s="26"/>
      <c r="C65" s="26"/>
      <c r="D65" s="26"/>
      <c r="E65" s="2">
        <v>-1</v>
      </c>
    </row>
    <row r="66" spans="2:5" ht="31.5">
      <c r="B66" s="1" t="s">
        <v>0</v>
      </c>
      <c r="C66" s="1" t="s">
        <v>48</v>
      </c>
      <c r="D66" s="3"/>
      <c r="E66" s="47" t="s">
        <v>25</v>
      </c>
    </row>
    <row r="67" spans="2:5" ht="12.75">
      <c r="B67" s="18">
        <v>1</v>
      </c>
      <c r="C67" s="48" t="s">
        <v>49</v>
      </c>
      <c r="D67" s="49"/>
      <c r="E67" s="50">
        <f>N51</f>
        <v>11944.83429289404</v>
      </c>
    </row>
    <row r="68" spans="2:7" ht="13.5" thickBot="1">
      <c r="B68" s="18">
        <v>2</v>
      </c>
      <c r="C68" s="51" t="s">
        <v>50</v>
      </c>
      <c r="D68" s="52"/>
      <c r="E68" s="38">
        <f>D51-N51</f>
        <v>175471.6626225231</v>
      </c>
      <c r="G68" s="53"/>
    </row>
    <row r="69" spans="2:5" ht="6.75" customHeight="1" thickTop="1">
      <c r="B69" s="44"/>
      <c r="C69" s="54"/>
      <c r="D69" s="55"/>
      <c r="E69" s="44"/>
    </row>
    <row r="70" spans="2:5" ht="12.75">
      <c r="B70" s="18">
        <v>3</v>
      </c>
      <c r="C70" s="48" t="s">
        <v>1</v>
      </c>
      <c r="D70" s="49"/>
      <c r="E70" s="50">
        <f>SUM(E67:E69)</f>
        <v>187416.49691541714</v>
      </c>
    </row>
    <row r="73" spans="2:5" ht="15">
      <c r="B73" s="108" t="s">
        <v>51</v>
      </c>
      <c r="C73" s="108"/>
      <c r="D73" s="108"/>
      <c r="E73" s="108"/>
    </row>
    <row r="74" spans="2:5" ht="15">
      <c r="B74" s="108" t="s">
        <v>18</v>
      </c>
      <c r="C74" s="108"/>
      <c r="D74" s="108"/>
      <c r="E74" s="108"/>
    </row>
    <row r="76" spans="2:5" ht="15.75">
      <c r="B76" s="1"/>
      <c r="C76" s="1"/>
      <c r="D76" s="2">
        <v>-1</v>
      </c>
      <c r="E76" s="2">
        <v>-2</v>
      </c>
    </row>
    <row r="77" spans="2:5" ht="15.75">
      <c r="B77" s="1" t="s">
        <v>0</v>
      </c>
      <c r="C77" s="1" t="s">
        <v>52</v>
      </c>
      <c r="D77" s="3"/>
      <c r="E77" s="47"/>
    </row>
    <row r="78" spans="2:5" ht="14.25">
      <c r="B78" s="24"/>
      <c r="C78" s="24"/>
      <c r="D78" s="56" t="s">
        <v>53</v>
      </c>
      <c r="E78" s="56" t="s">
        <v>54</v>
      </c>
    </row>
    <row r="79" spans="2:5" ht="12.75">
      <c r="B79" s="8">
        <v>1</v>
      </c>
      <c r="C79" s="7" t="s">
        <v>55</v>
      </c>
      <c r="D79" s="57">
        <v>0.2</v>
      </c>
      <c r="E79" s="57">
        <v>0.8</v>
      </c>
    </row>
    <row r="80" spans="2:5" ht="12.75">
      <c r="B80" s="8">
        <v>2</v>
      </c>
      <c r="C80" s="7" t="s">
        <v>56</v>
      </c>
      <c r="D80" s="58">
        <v>500</v>
      </c>
      <c r="E80" s="58">
        <v>500</v>
      </c>
    </row>
    <row r="81" spans="2:5" ht="12.75">
      <c r="B81" s="8">
        <v>3</v>
      </c>
      <c r="C81" s="7" t="s">
        <v>57</v>
      </c>
      <c r="D81" s="59">
        <v>2110</v>
      </c>
      <c r="E81" s="59">
        <v>1200</v>
      </c>
    </row>
    <row r="82" spans="2:5" ht="12.75">
      <c r="B82" s="8">
        <v>4</v>
      </c>
      <c r="C82" s="7" t="s">
        <v>58</v>
      </c>
      <c r="D82" s="58">
        <v>12</v>
      </c>
      <c r="E82" s="60"/>
    </row>
    <row r="83" spans="2:5" ht="12.75">
      <c r="B83" s="8">
        <v>5</v>
      </c>
      <c r="C83" s="7" t="s">
        <v>59</v>
      </c>
      <c r="D83" s="58">
        <v>1000</v>
      </c>
      <c r="E83" s="60"/>
    </row>
    <row r="87" spans="2:6" ht="18">
      <c r="B87" s="13" t="s">
        <v>60</v>
      </c>
      <c r="C87" s="13"/>
      <c r="D87" s="13"/>
      <c r="E87" s="13"/>
      <c r="F87" s="13"/>
    </row>
    <row r="88" spans="2:6" ht="18">
      <c r="B88" s="13" t="s">
        <v>61</v>
      </c>
      <c r="C88" s="13"/>
      <c r="D88" s="13"/>
      <c r="E88" s="13"/>
      <c r="F88" s="13"/>
    </row>
    <row r="89" spans="2:6" ht="18">
      <c r="B89" s="13" t="s">
        <v>18</v>
      </c>
      <c r="C89" s="13"/>
      <c r="D89" s="13"/>
      <c r="E89" s="13"/>
      <c r="F89" s="13"/>
    </row>
    <row r="91" spans="2:6" ht="15.75">
      <c r="B91" s="1"/>
      <c r="C91" s="1"/>
      <c r="D91" s="2">
        <v>-1</v>
      </c>
      <c r="E91" s="2">
        <v>-2</v>
      </c>
      <c r="F91" s="2">
        <v>-3</v>
      </c>
    </row>
    <row r="92" spans="2:6" ht="15.75">
      <c r="B92" s="1"/>
      <c r="C92" s="1"/>
      <c r="D92" s="3" t="s">
        <v>7</v>
      </c>
      <c r="E92" s="3"/>
      <c r="F92" s="3"/>
    </row>
    <row r="93" spans="2:6" ht="31.5">
      <c r="B93" s="3" t="s">
        <v>62</v>
      </c>
      <c r="C93" s="1" t="s">
        <v>63</v>
      </c>
      <c r="D93" s="3" t="s">
        <v>64</v>
      </c>
      <c r="E93" s="47" t="s">
        <v>65</v>
      </c>
      <c r="F93" s="47" t="s">
        <v>1</v>
      </c>
    </row>
    <row r="94" spans="2:6" ht="12.75">
      <c r="B94" s="18">
        <v>1</v>
      </c>
      <c r="C94" s="48" t="s">
        <v>66</v>
      </c>
      <c r="D94" s="50">
        <f>ROUND(F94*D79,0)</f>
        <v>344</v>
      </c>
      <c r="E94" s="50">
        <f>F94-D94</f>
        <v>1378</v>
      </c>
      <c r="F94" s="61">
        <v>1722</v>
      </c>
    </row>
    <row r="97" spans="2:6" ht="18">
      <c r="B97" s="13" t="s">
        <v>67</v>
      </c>
      <c r="C97" s="13"/>
      <c r="D97" s="13"/>
      <c r="E97" s="13"/>
      <c r="F97" s="13"/>
    </row>
    <row r="98" spans="2:6" ht="18">
      <c r="B98" s="13" t="s">
        <v>68</v>
      </c>
      <c r="C98" s="13"/>
      <c r="D98" s="13"/>
      <c r="E98" s="13"/>
      <c r="F98" s="13"/>
    </row>
    <row r="99" spans="2:6" ht="18">
      <c r="B99" s="13" t="s">
        <v>69</v>
      </c>
      <c r="C99" s="13"/>
      <c r="D99" s="13"/>
      <c r="E99" s="13"/>
      <c r="F99" s="13"/>
    </row>
    <row r="100" spans="2:6" ht="18">
      <c r="B100" s="13"/>
      <c r="C100" s="13"/>
      <c r="D100" s="13"/>
      <c r="E100" s="13"/>
      <c r="F100" s="13"/>
    </row>
    <row r="102" spans="2:6" ht="15.75">
      <c r="B102" s="1"/>
      <c r="C102" s="1"/>
      <c r="D102" s="2">
        <v>-1</v>
      </c>
      <c r="E102" s="2">
        <v>-2</v>
      </c>
      <c r="F102" s="2">
        <v>-3</v>
      </c>
    </row>
    <row r="103" spans="2:12" ht="15.75">
      <c r="B103" s="1"/>
      <c r="C103" s="62" t="s">
        <v>70</v>
      </c>
      <c r="D103" s="3" t="s">
        <v>7</v>
      </c>
      <c r="E103" s="3"/>
      <c r="F103" s="3"/>
      <c r="I103" t="s">
        <v>7</v>
      </c>
      <c r="K103" t="s">
        <v>53</v>
      </c>
      <c r="L103" t="s">
        <v>54</v>
      </c>
    </row>
    <row r="104" spans="2:12" ht="15.75">
      <c r="B104" s="1" t="s">
        <v>0</v>
      </c>
      <c r="C104" s="1" t="s">
        <v>63</v>
      </c>
      <c r="D104" s="3" t="s">
        <v>64</v>
      </c>
      <c r="E104" s="47" t="s">
        <v>65</v>
      </c>
      <c r="F104" s="47" t="s">
        <v>1</v>
      </c>
      <c r="I104" t="s">
        <v>149</v>
      </c>
      <c r="K104" s="116">
        <v>352820.378</v>
      </c>
      <c r="L104" s="116">
        <v>108341.11875436635</v>
      </c>
    </row>
    <row r="105" spans="2:6" ht="12.75">
      <c r="B105" s="4"/>
      <c r="C105" s="5"/>
      <c r="D105" s="6">
        <v>0.2</v>
      </c>
      <c r="E105" s="6">
        <v>0.8</v>
      </c>
      <c r="F105" s="30"/>
    </row>
    <row r="106" spans="2:6" ht="25.5">
      <c r="B106" s="18">
        <v>1</v>
      </c>
      <c r="C106" s="48" t="s">
        <v>71</v>
      </c>
      <c r="D106" s="50">
        <f>ROUND($F106*D105,3)</f>
        <v>35094.333</v>
      </c>
      <c r="E106" s="50">
        <f>ROUND($F106*E105,3)</f>
        <v>140377.33</v>
      </c>
      <c r="F106" s="50">
        <f>E68</f>
        <v>175471.6626225231</v>
      </c>
    </row>
    <row r="107" spans="2:7" ht="25.5">
      <c r="B107" s="18" t="s">
        <v>150</v>
      </c>
      <c r="C107" s="63" t="s">
        <v>72</v>
      </c>
      <c r="D107" s="115">
        <f>E30*2</f>
        <v>4147313.627999999</v>
      </c>
      <c r="E107" s="115">
        <f>E23*2</f>
        <v>2351676.072</v>
      </c>
      <c r="F107" s="64"/>
      <c r="G107" t="s">
        <v>154</v>
      </c>
    </row>
    <row r="108" spans="2:6" ht="12.75">
      <c r="B108" s="18" t="s">
        <v>151</v>
      </c>
      <c r="C108" s="63" t="s">
        <v>152</v>
      </c>
      <c r="D108" s="115">
        <f>K104*2</f>
        <v>705640.756</v>
      </c>
      <c r="E108" s="115">
        <f>L104*2</f>
        <v>216682.2375087327</v>
      </c>
      <c r="F108" s="64"/>
    </row>
    <row r="109" spans="2:7" ht="12.75">
      <c r="B109" s="18">
        <v>2</v>
      </c>
      <c r="C109" s="63" t="s">
        <v>153</v>
      </c>
      <c r="D109" s="115">
        <f>D107+D108</f>
        <v>4852954.384</v>
      </c>
      <c r="E109" s="115">
        <f>E107+E108</f>
        <v>2568358.309508733</v>
      </c>
      <c r="F109" s="64"/>
      <c r="G109" t="s">
        <v>155</v>
      </c>
    </row>
    <row r="110" spans="2:6" ht="12.75">
      <c r="B110" s="18">
        <v>3</v>
      </c>
      <c r="C110" s="48" t="s">
        <v>73</v>
      </c>
      <c r="D110" s="65">
        <f>ROUND(D106*$D$83/D109,3)</f>
        <v>7.232</v>
      </c>
      <c r="E110" s="65">
        <f>ROUND(E106*$D$83/E109,3)</f>
        <v>54.656</v>
      </c>
      <c r="F110" s="66"/>
    </row>
    <row r="111" spans="2:6" ht="25.5">
      <c r="B111" s="18">
        <v>4</v>
      </c>
      <c r="C111" s="63" t="s">
        <v>74</v>
      </c>
      <c r="D111" s="65">
        <f>ROUND(D110/D82,4)</f>
        <v>0.6027</v>
      </c>
      <c r="E111" s="65">
        <f>ROUND(E110/D82,4)</f>
        <v>4.5547</v>
      </c>
      <c r="F111" s="64"/>
    </row>
    <row r="114" spans="2:6" ht="18">
      <c r="B114" s="13" t="s">
        <v>175</v>
      </c>
      <c r="C114" s="13"/>
      <c r="D114" s="13"/>
      <c r="E114" s="13"/>
      <c r="F114" s="13"/>
    </row>
    <row r="115" spans="2:6" ht="18">
      <c r="B115" s="13" t="s">
        <v>176</v>
      </c>
      <c r="C115" s="13"/>
      <c r="D115" s="13"/>
      <c r="E115" s="13"/>
      <c r="F115" s="13"/>
    </row>
    <row r="116" spans="2:6" ht="18">
      <c r="B116" s="13" t="s">
        <v>18</v>
      </c>
      <c r="C116" s="13"/>
      <c r="D116" s="13"/>
      <c r="E116" s="13"/>
      <c r="F116" s="13"/>
    </row>
    <row r="118" spans="2:6" ht="15.75">
      <c r="B118" s="1"/>
      <c r="C118" s="1"/>
      <c r="D118" s="2">
        <v>-1</v>
      </c>
      <c r="E118" s="2">
        <v>-2</v>
      </c>
      <c r="F118" s="2">
        <v>-3</v>
      </c>
    </row>
    <row r="119" spans="2:6" ht="15.75">
      <c r="B119" s="1"/>
      <c r="C119" s="1"/>
      <c r="D119" s="3" t="s">
        <v>7</v>
      </c>
      <c r="E119" s="3"/>
      <c r="F119" s="3"/>
    </row>
    <row r="120" spans="2:6" ht="15.75">
      <c r="B120" s="1" t="s">
        <v>0</v>
      </c>
      <c r="C120" s="1" t="s">
        <v>63</v>
      </c>
      <c r="D120" s="3" t="s">
        <v>64</v>
      </c>
      <c r="E120" s="47" t="s">
        <v>65</v>
      </c>
      <c r="F120" s="47" t="s">
        <v>1</v>
      </c>
    </row>
    <row r="121" spans="2:6" ht="12.75">
      <c r="B121" s="4"/>
      <c r="C121" s="5" t="s">
        <v>75</v>
      </c>
      <c r="D121" s="30"/>
      <c r="E121" s="30"/>
      <c r="F121" s="30"/>
    </row>
    <row r="122" spans="2:6" ht="12.75">
      <c r="B122" s="18">
        <v>1</v>
      </c>
      <c r="C122" s="48" t="s">
        <v>76</v>
      </c>
      <c r="D122" s="38">
        <f>ROUND(D$111*($E26/D$80)*$D$82,0)</f>
        <v>14121</v>
      </c>
      <c r="E122" s="38">
        <f>ROUND(E$111*($E19/E$80)*$D$82,0)</f>
        <v>60691</v>
      </c>
      <c r="F122" s="50">
        <f>SUM(D122:E122)</f>
        <v>74812</v>
      </c>
    </row>
    <row r="123" spans="2:6" ht="12.75">
      <c r="B123" s="4"/>
      <c r="C123" s="5" t="s">
        <v>77</v>
      </c>
      <c r="D123" s="30"/>
      <c r="E123" s="30"/>
      <c r="F123" s="30"/>
    </row>
    <row r="124" spans="2:6" ht="12.75">
      <c r="B124" s="18">
        <v>2</v>
      </c>
      <c r="C124" s="63" t="s">
        <v>78</v>
      </c>
      <c r="D124" s="38">
        <f>D106-D122</f>
        <v>20973.333</v>
      </c>
      <c r="E124" s="38">
        <f>E106-E122</f>
        <v>79686.32999999999</v>
      </c>
      <c r="F124" s="38">
        <f>SUM(D124:E124)</f>
        <v>100659.66299999999</v>
      </c>
    </row>
    <row r="125" spans="2:6" ht="12.75">
      <c r="B125" s="18">
        <v>3</v>
      </c>
      <c r="C125" s="48" t="s">
        <v>79</v>
      </c>
      <c r="D125" s="38">
        <f>D94</f>
        <v>344</v>
      </c>
      <c r="E125" s="38">
        <f>E94</f>
        <v>1378</v>
      </c>
      <c r="F125" s="38">
        <f>SUM(D125:E125)</f>
        <v>1722</v>
      </c>
    </row>
    <row r="126" spans="2:6" ht="12.75">
      <c r="B126" s="18">
        <v>4</v>
      </c>
      <c r="C126" s="48" t="s">
        <v>80</v>
      </c>
      <c r="D126" s="38">
        <f>SUM(D124:D125)</f>
        <v>21317.333</v>
      </c>
      <c r="E126" s="38">
        <f>SUM(E124:E125)</f>
        <v>81064.32999999999</v>
      </c>
      <c r="F126" s="38">
        <f>SUM(D126:E126)</f>
        <v>102381.66299999999</v>
      </c>
    </row>
    <row r="127" spans="2:6" ht="3.75" customHeight="1">
      <c r="B127" s="67"/>
      <c r="C127" s="67"/>
      <c r="D127" s="67"/>
      <c r="E127" s="67"/>
      <c r="F127" s="67"/>
    </row>
    <row r="128" spans="2:6" ht="12.75">
      <c r="B128" s="18">
        <v>5</v>
      </c>
      <c r="C128" s="48" t="s">
        <v>81</v>
      </c>
      <c r="D128" s="50">
        <f>SUM(D122,D126)</f>
        <v>35438.333</v>
      </c>
      <c r="E128" s="50">
        <f>SUM(E122,E126)</f>
        <v>141755.33</v>
      </c>
      <c r="F128" s="38">
        <f>SUM(D128:E128)</f>
        <v>177193.663</v>
      </c>
    </row>
    <row r="129" spans="2:6" ht="12">
      <c r="B129" s="9"/>
      <c r="C129" s="9"/>
      <c r="D129" s="9"/>
      <c r="E129" s="9"/>
      <c r="F129" s="9"/>
    </row>
    <row r="130" spans="2:6" ht="14.25">
      <c r="B130" s="68"/>
      <c r="D130" s="69"/>
      <c r="E130" s="69"/>
      <c r="F130" s="69"/>
    </row>
    <row r="131" spans="2:6" ht="14.25">
      <c r="B131" s="68"/>
      <c r="D131" s="69"/>
      <c r="E131" s="69"/>
      <c r="F131" s="69"/>
    </row>
    <row r="132" spans="2:6" ht="12.75">
      <c r="B132" s="70" t="s">
        <v>82</v>
      </c>
      <c r="C132" s="70"/>
      <c r="D132" s="70"/>
      <c r="E132" s="70"/>
      <c r="F132" s="70"/>
    </row>
    <row r="133" spans="2:6" ht="12.75">
      <c r="B133" s="70" t="s">
        <v>83</v>
      </c>
      <c r="C133" s="70"/>
      <c r="D133" s="70"/>
      <c r="E133" s="70"/>
      <c r="F133" s="70"/>
    </row>
    <row r="134" spans="2:6" ht="12.75">
      <c r="B134" s="70" t="s">
        <v>84</v>
      </c>
      <c r="C134" s="70"/>
      <c r="D134" s="70"/>
      <c r="E134" s="70"/>
      <c r="F134" s="70"/>
    </row>
    <row r="137" spans="2:6" ht="18">
      <c r="B137" s="13" t="s">
        <v>85</v>
      </c>
      <c r="C137" s="13"/>
      <c r="D137" s="13"/>
      <c r="E137" s="13"/>
      <c r="F137" s="13"/>
    </row>
    <row r="138" spans="2:6" ht="18">
      <c r="B138" s="13" t="s">
        <v>86</v>
      </c>
      <c r="C138" s="13"/>
      <c r="D138" s="13"/>
      <c r="E138" s="13"/>
      <c r="F138" s="13"/>
    </row>
    <row r="140" spans="2:6" ht="15.75">
      <c r="B140" s="1"/>
      <c r="C140" s="1"/>
      <c r="D140" s="2">
        <v>-1</v>
      </c>
      <c r="E140" s="2">
        <v>-2</v>
      </c>
      <c r="F140" s="2">
        <v>-3</v>
      </c>
    </row>
    <row r="141" spans="2:6" ht="15.75">
      <c r="B141" s="1"/>
      <c r="C141" s="1"/>
      <c r="D141" s="3" t="s">
        <v>7</v>
      </c>
      <c r="E141" s="3"/>
      <c r="F141" s="3"/>
    </row>
    <row r="142" spans="2:6" ht="15.75">
      <c r="B142" s="1" t="s">
        <v>0</v>
      </c>
      <c r="C142" s="1" t="s">
        <v>63</v>
      </c>
      <c r="D142" s="3" t="s">
        <v>64</v>
      </c>
      <c r="E142" s="47" t="s">
        <v>65</v>
      </c>
      <c r="F142" s="47" t="s">
        <v>1</v>
      </c>
    </row>
    <row r="143" spans="2:10" ht="12.75">
      <c r="B143" s="18">
        <v>1</v>
      </c>
      <c r="C143" s="48" t="s">
        <v>87</v>
      </c>
      <c r="D143" s="66">
        <f>ROUND($D81/$D80*D111,2)</f>
        <v>2.54</v>
      </c>
      <c r="E143" s="66">
        <f>ROUND($E81/$E80*E111,2)</f>
        <v>10.93</v>
      </c>
      <c r="F143" s="66">
        <f>SUM(D143:E143)</f>
        <v>13.469999999999999</v>
      </c>
      <c r="H143" s="71">
        <v>3.172719819716386</v>
      </c>
      <c r="I143" s="71"/>
      <c r="J143" s="71"/>
    </row>
    <row r="144" spans="2:6" ht="25.5">
      <c r="B144" s="18">
        <v>2</v>
      </c>
      <c r="C144" s="63" t="s">
        <v>88</v>
      </c>
      <c r="D144" s="65">
        <f>ROUND(D126/$D$82/(SUM(E$27:E$28)/D$80),3)</f>
        <v>0.809</v>
      </c>
      <c r="E144" s="65">
        <f>ROUND(E126/$D$82/(SUM(E$20:E$21)/E$80),3)</f>
        <v>5.442</v>
      </c>
      <c r="F144" s="64"/>
    </row>
    <row r="145" spans="2:6" ht="25.5">
      <c r="B145" s="18">
        <v>3</v>
      </c>
      <c r="C145" s="48" t="s">
        <v>89</v>
      </c>
      <c r="D145" s="65">
        <f>D144-D111</f>
        <v>0.20630000000000004</v>
      </c>
      <c r="E145" s="65">
        <f>E144-E111</f>
        <v>0.8872999999999998</v>
      </c>
      <c r="F145" s="66"/>
    </row>
    <row r="147" ht="12.75">
      <c r="B147" s="70" t="s">
        <v>90</v>
      </c>
    </row>
    <row r="150" spans="2:6" ht="18">
      <c r="B150" s="13" t="s">
        <v>91</v>
      </c>
      <c r="C150" s="13"/>
      <c r="D150" s="13"/>
      <c r="E150" s="13"/>
      <c r="F150" s="13"/>
    </row>
    <row r="151" spans="2:6" ht="18">
      <c r="B151" s="13"/>
      <c r="C151" s="13"/>
      <c r="D151" s="13"/>
      <c r="E151" s="13"/>
      <c r="F151" s="13"/>
    </row>
    <row r="152" spans="2:6" ht="15">
      <c r="B152" s="72"/>
      <c r="C152" s="72"/>
      <c r="D152" s="72"/>
      <c r="E152" s="72"/>
      <c r="F152" s="72"/>
    </row>
    <row r="153" spans="2:6" ht="15.75">
      <c r="B153" s="1"/>
      <c r="C153" s="1"/>
      <c r="D153" s="2"/>
      <c r="E153" s="2"/>
      <c r="F153" s="2">
        <v>-1</v>
      </c>
    </row>
    <row r="154" spans="2:6" ht="15.75">
      <c r="B154" s="1" t="s">
        <v>0</v>
      </c>
      <c r="C154" s="1" t="s">
        <v>92</v>
      </c>
      <c r="D154" s="1"/>
      <c r="E154" s="1" t="s">
        <v>93</v>
      </c>
      <c r="F154" s="47" t="s">
        <v>7</v>
      </c>
    </row>
    <row r="155" spans="2:6" ht="12.75">
      <c r="B155" s="18">
        <v>1</v>
      </c>
      <c r="C155" s="73" t="s">
        <v>94</v>
      </c>
      <c r="D155" s="74"/>
      <c r="E155" s="75" t="s">
        <v>95</v>
      </c>
      <c r="F155" s="42">
        <v>11944834.29289404</v>
      </c>
    </row>
    <row r="156" spans="2:6" ht="12.75">
      <c r="B156" s="18">
        <v>2</v>
      </c>
      <c r="C156" s="76" t="s">
        <v>96</v>
      </c>
      <c r="D156" s="77"/>
      <c r="E156" s="78" t="s">
        <v>97</v>
      </c>
      <c r="F156" s="19">
        <v>464563.54464285716</v>
      </c>
    </row>
    <row r="157" spans="2:6" ht="12.75">
      <c r="B157" s="18">
        <v>3</v>
      </c>
      <c r="C157" s="79" t="s">
        <v>98</v>
      </c>
      <c r="D157" s="80"/>
      <c r="E157" s="81"/>
      <c r="F157" s="82">
        <v>1.3</v>
      </c>
    </row>
    <row r="158" spans="2:6" ht="12.75">
      <c r="B158" s="18">
        <v>4</v>
      </c>
      <c r="C158" s="83" t="s">
        <v>99</v>
      </c>
      <c r="D158" s="83"/>
      <c r="E158" s="78" t="s">
        <v>97</v>
      </c>
      <c r="F158" s="19">
        <v>111131.09196428573</v>
      </c>
    </row>
    <row r="159" spans="2:6" ht="12.75">
      <c r="B159" s="18">
        <v>5</v>
      </c>
      <c r="C159" s="79" t="s">
        <v>100</v>
      </c>
      <c r="D159" s="80"/>
      <c r="E159" s="78" t="s">
        <v>97</v>
      </c>
      <c r="F159" s="23">
        <f>F156+F158</f>
        <v>575694.6366071429</v>
      </c>
    </row>
    <row r="160" spans="2:6" ht="12.75">
      <c r="B160" s="18">
        <v>6</v>
      </c>
      <c r="C160" s="83" t="s">
        <v>101</v>
      </c>
      <c r="D160" s="83"/>
      <c r="E160" s="78" t="s">
        <v>97</v>
      </c>
      <c r="F160" s="23">
        <f>F156*D82</f>
        <v>5574762.535714285</v>
      </c>
    </row>
    <row r="161" spans="2:6" ht="12.75">
      <c r="B161" s="18">
        <v>7</v>
      </c>
      <c r="C161" s="79" t="s">
        <v>102</v>
      </c>
      <c r="D161" s="80"/>
      <c r="E161" s="78" t="s">
        <v>97</v>
      </c>
      <c r="F161" s="23">
        <f>F158*D$82</f>
        <v>1333573.103571429</v>
      </c>
    </row>
    <row r="162" spans="2:6" ht="12.75">
      <c r="B162" s="18">
        <v>8</v>
      </c>
      <c r="C162" s="83" t="s">
        <v>103</v>
      </c>
      <c r="D162" s="83"/>
      <c r="E162" s="78" t="s">
        <v>97</v>
      </c>
      <c r="F162" s="23">
        <f>SUM(F160:F161)</f>
        <v>6908335.639285714</v>
      </c>
    </row>
    <row r="163" spans="2:6" ht="12.75">
      <c r="B163" s="18">
        <v>9</v>
      </c>
      <c r="C163" s="79" t="s">
        <v>104</v>
      </c>
      <c r="D163" s="80"/>
      <c r="E163" s="78" t="s">
        <v>105</v>
      </c>
      <c r="F163" s="84">
        <f>ROUND(F155/F162,2)</f>
        <v>1.73</v>
      </c>
    </row>
    <row r="164" spans="2:6" ht="12.75">
      <c r="B164" s="18">
        <v>10</v>
      </c>
      <c r="C164" s="83" t="s">
        <v>106</v>
      </c>
      <c r="D164" s="85"/>
      <c r="E164" s="78" t="s">
        <v>105</v>
      </c>
      <c r="F164" s="84">
        <f>F163*F157</f>
        <v>2.249</v>
      </c>
    </row>
    <row r="165" spans="2:6" ht="12.75">
      <c r="B165" s="86"/>
      <c r="C165" s="87"/>
      <c r="D165" s="88"/>
      <c r="E165" s="88"/>
      <c r="F165" s="89"/>
    </row>
    <row r="166" spans="2:5" ht="12.75">
      <c r="B166" s="70" t="s">
        <v>107</v>
      </c>
      <c r="D166" s="90"/>
      <c r="E166" s="90"/>
    </row>
    <row r="167" spans="2:5" ht="12.75">
      <c r="B167" s="70" t="s">
        <v>108</v>
      </c>
      <c r="D167" s="90"/>
      <c r="E167" s="90"/>
    </row>
    <row r="169" spans="3:11" ht="12">
      <c r="C169" s="22"/>
      <c r="D169" s="22"/>
      <c r="E169" s="22"/>
      <c r="F169" s="22"/>
      <c r="G169" s="22"/>
      <c r="H169" s="22"/>
      <c r="I169" s="22"/>
      <c r="J169" s="22"/>
      <c r="K169" s="22"/>
    </row>
    <row r="170" spans="2:12" ht="18">
      <c r="B170" s="13" t="s">
        <v>109</v>
      </c>
      <c r="C170" s="13"/>
      <c r="D170" s="13"/>
      <c r="E170" s="13"/>
      <c r="F170" s="13"/>
      <c r="G170" s="13"/>
      <c r="H170" s="13"/>
      <c r="I170" s="13"/>
      <c r="J170" s="13"/>
      <c r="L170" s="129" t="s">
        <v>183</v>
      </c>
    </row>
    <row r="171" spans="2:12" ht="18">
      <c r="B171" s="13" t="s">
        <v>18</v>
      </c>
      <c r="C171" s="13"/>
      <c r="D171" s="13"/>
      <c r="E171" s="13"/>
      <c r="F171" s="13"/>
      <c r="G171" s="13"/>
      <c r="H171" s="13"/>
      <c r="I171" s="13"/>
      <c r="J171" s="13"/>
      <c r="L171" s="129" t="s">
        <v>184</v>
      </c>
    </row>
    <row r="172" spans="2:10" ht="18">
      <c r="B172" s="13" t="s">
        <v>19</v>
      </c>
      <c r="C172" s="13"/>
      <c r="D172" s="13"/>
      <c r="E172" s="13"/>
      <c r="F172" s="13"/>
      <c r="G172" s="13"/>
      <c r="H172" s="13"/>
      <c r="I172" s="13"/>
      <c r="J172" s="13"/>
    </row>
    <row r="173" spans="2:10" ht="15">
      <c r="B173" s="72"/>
      <c r="C173" s="72"/>
      <c r="D173" s="72"/>
      <c r="E173" s="72"/>
      <c r="F173" s="72"/>
      <c r="G173" s="72"/>
      <c r="H173" s="72"/>
      <c r="I173" s="72"/>
      <c r="J173" s="72"/>
    </row>
    <row r="174" spans="2:10" ht="15">
      <c r="B174" s="91"/>
      <c r="C174" s="91"/>
      <c r="D174" s="2">
        <v>-1</v>
      </c>
      <c r="E174" s="2">
        <v>-2</v>
      </c>
      <c r="F174" s="2">
        <v>-3</v>
      </c>
      <c r="G174" s="2">
        <v>-4</v>
      </c>
      <c r="H174" s="2">
        <v>-5</v>
      </c>
      <c r="I174" s="2">
        <v>-6</v>
      </c>
      <c r="J174" s="2">
        <v>-7</v>
      </c>
    </row>
    <row r="175" spans="2:10" ht="15.75">
      <c r="B175" s="26"/>
      <c r="C175" s="26"/>
      <c r="D175" s="26"/>
      <c r="E175" s="27"/>
      <c r="F175" s="27"/>
      <c r="G175" s="3" t="s">
        <v>110</v>
      </c>
      <c r="H175" s="92"/>
      <c r="I175" s="92"/>
      <c r="J175" s="26"/>
    </row>
    <row r="176" spans="2:12" ht="48">
      <c r="B176" s="1" t="s">
        <v>0</v>
      </c>
      <c r="C176" s="1" t="s">
        <v>5</v>
      </c>
      <c r="D176" s="47" t="s">
        <v>111</v>
      </c>
      <c r="E176" s="47" t="s">
        <v>112</v>
      </c>
      <c r="F176" s="47" t="s">
        <v>113</v>
      </c>
      <c r="G176" s="3" t="s">
        <v>9</v>
      </c>
      <c r="H176" s="3" t="s">
        <v>10</v>
      </c>
      <c r="I176" s="47" t="s">
        <v>114</v>
      </c>
      <c r="J176" s="47" t="s">
        <v>115</v>
      </c>
      <c r="L176" t="s">
        <v>116</v>
      </c>
    </row>
    <row r="177" spans="2:10" ht="14.25">
      <c r="B177" s="93"/>
      <c r="C177" s="93" t="s">
        <v>9</v>
      </c>
      <c r="D177" s="93"/>
      <c r="E177" s="93"/>
      <c r="F177" s="93"/>
      <c r="G177" s="93"/>
      <c r="H177" s="93"/>
      <c r="I177" s="93"/>
      <c r="J177" s="93"/>
    </row>
    <row r="178" spans="2:12" ht="12.75">
      <c r="B178" s="18">
        <v>1</v>
      </c>
      <c r="C178" s="7" t="s">
        <v>117</v>
      </c>
      <c r="D178" s="61">
        <v>87150074.25964287</v>
      </c>
      <c r="E178" s="61">
        <v>0</v>
      </c>
      <c r="F178" s="50">
        <f>SUM(D178,E178)</f>
        <v>87150074.25964287</v>
      </c>
      <c r="G178" s="50">
        <v>0</v>
      </c>
      <c r="H178" s="50">
        <v>0</v>
      </c>
      <c r="I178" s="50">
        <f>-E$193*F178/F$193</f>
        <v>1824456.5001013367</v>
      </c>
      <c r="J178" s="50">
        <f>SUM(F178:I178)</f>
        <v>88974530.75974421</v>
      </c>
      <c r="K178" s="94"/>
      <c r="L178" s="95">
        <f>+J178/F178</f>
        <v>1.0209346522719627</v>
      </c>
    </row>
    <row r="179" spans="2:12" ht="12.75">
      <c r="B179" s="18">
        <v>2</v>
      </c>
      <c r="C179" s="7" t="s">
        <v>118</v>
      </c>
      <c r="D179" s="42">
        <v>4515752.52</v>
      </c>
      <c r="E179" s="42">
        <v>-1128938.13</v>
      </c>
      <c r="F179" s="38">
        <f>SUM(D179,E179)</f>
        <v>3386814.3899999997</v>
      </c>
      <c r="G179" s="38"/>
      <c r="H179" s="38"/>
      <c r="I179" s="38">
        <f>-E$193*F179/F$193</f>
        <v>70901.78156432892</v>
      </c>
      <c r="J179" s="38">
        <f>SUM(F179:I179)</f>
        <v>3457716.1715643285</v>
      </c>
      <c r="K179" s="94"/>
      <c r="L179" s="95">
        <f>+J179/F179</f>
        <v>1.0209346522719625</v>
      </c>
    </row>
    <row r="180" spans="2:12" ht="12.75">
      <c r="B180" s="18">
        <v>3</v>
      </c>
      <c r="C180" s="7" t="s">
        <v>119</v>
      </c>
      <c r="D180" s="42">
        <v>814867.6799999999</v>
      </c>
      <c r="E180" s="42">
        <v>-40743.384</v>
      </c>
      <c r="F180" s="38">
        <f>SUM(D180,E180)</f>
        <v>774124.296</v>
      </c>
      <c r="G180" s="38"/>
      <c r="H180" s="38"/>
      <c r="I180" s="38">
        <f>-E$193*F180/F$193</f>
        <v>16206.022952037803</v>
      </c>
      <c r="J180" s="38">
        <f>SUM(F180:I180)</f>
        <v>790330.3189520377</v>
      </c>
      <c r="K180" s="94"/>
      <c r="L180" s="95">
        <f>+J180/F180</f>
        <v>1.0209346522719625</v>
      </c>
    </row>
    <row r="181" spans="2:12" ht="12.75">
      <c r="B181" s="96"/>
      <c r="C181" s="97" t="s">
        <v>120</v>
      </c>
      <c r="D181" s="98">
        <v>0</v>
      </c>
      <c r="E181" s="98"/>
      <c r="F181" s="98">
        <v>0</v>
      </c>
      <c r="G181" s="98"/>
      <c r="H181" s="98"/>
      <c r="I181" s="98">
        <v>0</v>
      </c>
      <c r="J181" s="98">
        <v>0</v>
      </c>
      <c r="K181" s="94"/>
      <c r="L181" s="99" t="str">
        <f>IF(F181=0,"NA",+J181/F181)</f>
        <v>NA</v>
      </c>
    </row>
    <row r="182" spans="2:12" ht="14.25">
      <c r="B182" s="93"/>
      <c r="C182" s="93" t="s">
        <v>10</v>
      </c>
      <c r="D182" s="93"/>
      <c r="E182" s="93"/>
      <c r="F182" s="93"/>
      <c r="G182" s="93"/>
      <c r="H182" s="93"/>
      <c r="I182" s="93"/>
      <c r="J182" s="93"/>
      <c r="K182" s="94"/>
      <c r="L182" s="94"/>
    </row>
    <row r="183" spans="2:12" ht="12.75">
      <c r="B183" s="18">
        <v>4</v>
      </c>
      <c r="C183" s="7" t="s">
        <v>117</v>
      </c>
      <c r="D183" s="42">
        <v>81723598.7846266</v>
      </c>
      <c r="E183" s="42"/>
      <c r="F183" s="38">
        <f aca="true" t="shared" si="3" ref="F183:F191">SUM(D183,E183)</f>
        <v>81723598.7846266</v>
      </c>
      <c r="G183" s="38"/>
      <c r="H183" s="38"/>
      <c r="I183" s="38">
        <f>-E$193*F183/F$193</f>
        <v>1710855.1229695387</v>
      </c>
      <c r="J183" s="38">
        <f aca="true" t="shared" si="4" ref="J183:J191">SUM(F183:I183)</f>
        <v>83434453.90759614</v>
      </c>
      <c r="K183" s="94"/>
      <c r="L183" s="95">
        <f>+J183/F183</f>
        <v>1.0209346522719625</v>
      </c>
    </row>
    <row r="184" spans="2:12" ht="12.75">
      <c r="B184" s="18">
        <v>5</v>
      </c>
      <c r="C184" s="7" t="s">
        <v>118</v>
      </c>
      <c r="D184" s="42">
        <v>10460792.240565361</v>
      </c>
      <c r="E184" s="42">
        <v>-2615198.0601413404</v>
      </c>
      <c r="F184" s="38">
        <f t="shared" si="3"/>
        <v>7845594.180424022</v>
      </c>
      <c r="G184" s="38"/>
      <c r="H184" s="38"/>
      <c r="I184" s="38">
        <f>-E$193*F184/F$193</f>
        <v>164244.78603410983</v>
      </c>
      <c r="J184" s="38">
        <f t="shared" si="4"/>
        <v>8009838.966458132</v>
      </c>
      <c r="K184" s="94"/>
      <c r="L184" s="95">
        <f>+J184/F184</f>
        <v>1.0209346522719627</v>
      </c>
    </row>
    <row r="185" spans="2:12" ht="12.75">
      <c r="B185" s="18">
        <v>6</v>
      </c>
      <c r="C185" s="7" t="s">
        <v>119</v>
      </c>
      <c r="D185" s="42">
        <v>1392131.5695447868</v>
      </c>
      <c r="E185" s="42">
        <v>-69606.57847723934</v>
      </c>
      <c r="F185" s="38">
        <f t="shared" si="3"/>
        <v>1322524.9910675476</v>
      </c>
      <c r="G185" s="38"/>
      <c r="H185" s="38"/>
      <c r="I185" s="38">
        <f>-E$193*F185/F$193</f>
        <v>27686.600808979474</v>
      </c>
      <c r="J185" s="38">
        <f t="shared" si="4"/>
        <v>1350211.591876527</v>
      </c>
      <c r="K185" s="94"/>
      <c r="L185" s="95">
        <f>+J185/F185</f>
        <v>1.0209346522719625</v>
      </c>
    </row>
    <row r="186" spans="2:12" ht="12.75">
      <c r="B186" s="100"/>
      <c r="C186" s="101" t="s">
        <v>120</v>
      </c>
      <c r="D186" s="102">
        <v>0</v>
      </c>
      <c r="E186" s="102"/>
      <c r="F186" s="38">
        <f t="shared" si="3"/>
        <v>0</v>
      </c>
      <c r="G186" s="102"/>
      <c r="H186" s="102"/>
      <c r="I186" s="38">
        <f>-E$193*F186/F$193</f>
        <v>0</v>
      </c>
      <c r="J186" s="38">
        <f t="shared" si="4"/>
        <v>0</v>
      </c>
      <c r="K186" s="94"/>
      <c r="L186" s="99" t="str">
        <f>IF(F186=0,"NA",+J186/F186)</f>
        <v>NA</v>
      </c>
    </row>
    <row r="187" spans="2:12" ht="14.25">
      <c r="B187" s="93"/>
      <c r="C187" s="93" t="s">
        <v>121</v>
      </c>
      <c r="D187" s="93"/>
      <c r="E187" s="93"/>
      <c r="F187" s="93"/>
      <c r="G187" s="93"/>
      <c r="H187" s="93"/>
      <c r="I187" s="93"/>
      <c r="J187" s="93"/>
      <c r="K187" s="94"/>
      <c r="L187" s="94"/>
    </row>
    <row r="188" spans="2:12" ht="12.75">
      <c r="B188" s="18">
        <v>7</v>
      </c>
      <c r="C188" s="7" t="s">
        <v>117</v>
      </c>
      <c r="D188" s="42">
        <v>3016508.5569394636</v>
      </c>
      <c r="E188" s="42"/>
      <c r="F188" s="38">
        <f t="shared" si="3"/>
        <v>3016508.5569394636</v>
      </c>
      <c r="G188" s="38"/>
      <c r="H188" s="38"/>
      <c r="I188" s="38">
        <f>-E$193*F188/F$193</f>
        <v>63149.55771492719</v>
      </c>
      <c r="J188" s="38">
        <f t="shared" si="4"/>
        <v>3079658.1146543906</v>
      </c>
      <c r="K188" s="94"/>
      <c r="L188" s="95">
        <f>+J188/F188</f>
        <v>1.0209346522719625</v>
      </c>
    </row>
    <row r="189" spans="2:12" ht="12.75">
      <c r="B189" s="18">
        <v>8</v>
      </c>
      <c r="C189" s="7" t="s">
        <v>118</v>
      </c>
      <c r="D189" s="42">
        <v>98105.41326529298</v>
      </c>
      <c r="E189" s="42">
        <v>-24526.353316323246</v>
      </c>
      <c r="F189" s="38">
        <f t="shared" si="3"/>
        <v>73579.05994896973</v>
      </c>
      <c r="G189" s="38"/>
      <c r="H189" s="38"/>
      <c r="I189" s="38">
        <f>-E$193*F189/F$193</f>
        <v>1540.3520345295672</v>
      </c>
      <c r="J189" s="38">
        <f t="shared" si="4"/>
        <v>75119.4119834993</v>
      </c>
      <c r="K189" s="94"/>
      <c r="L189" s="95">
        <f>+J189/F189</f>
        <v>1.0209346522719627</v>
      </c>
    </row>
    <row r="190" spans="2:12" ht="12.75">
      <c r="B190" s="18">
        <v>9</v>
      </c>
      <c r="C190" s="7" t="s">
        <v>119</v>
      </c>
      <c r="D190" s="42">
        <v>937.1071200000001</v>
      </c>
      <c r="E190" s="42">
        <v>-46.85535600000001</v>
      </c>
      <c r="F190" s="38">
        <f t="shared" si="3"/>
        <v>890.2517640000001</v>
      </c>
      <c r="G190" s="38"/>
      <c r="H190" s="38"/>
      <c r="I190" s="38">
        <f>-E$193*F190/F$193</f>
        <v>18.637111113841264</v>
      </c>
      <c r="J190" s="38">
        <f t="shared" si="4"/>
        <v>908.8888751138413</v>
      </c>
      <c r="K190" s="94"/>
      <c r="L190" s="95">
        <f>+J190/F190</f>
        <v>1.0209346522719625</v>
      </c>
    </row>
    <row r="191" spans="2:11" ht="13.5" thickBot="1">
      <c r="B191" s="18"/>
      <c r="C191" s="7" t="s">
        <v>120</v>
      </c>
      <c r="D191" s="38">
        <v>0</v>
      </c>
      <c r="E191" s="38"/>
      <c r="F191" s="38">
        <f t="shared" si="3"/>
        <v>0</v>
      </c>
      <c r="G191" s="38"/>
      <c r="H191" s="38"/>
      <c r="I191" s="38">
        <f>-E$193*F191/F$193</f>
        <v>0</v>
      </c>
      <c r="J191" s="38">
        <f t="shared" si="4"/>
        <v>0</v>
      </c>
      <c r="K191" s="94"/>
    </row>
    <row r="192" spans="2:10" ht="15" thickTop="1">
      <c r="B192" s="44"/>
      <c r="C192" s="44"/>
      <c r="D192" s="44"/>
      <c r="E192" s="44"/>
      <c r="F192" s="44"/>
      <c r="G192" s="44"/>
      <c r="H192" s="44"/>
      <c r="I192" s="44"/>
      <c r="J192" s="44"/>
    </row>
    <row r="193" spans="1:11" ht="12.75">
      <c r="A193" s="22"/>
      <c r="B193" s="18">
        <v>10</v>
      </c>
      <c r="C193" s="7" t="s">
        <v>1</v>
      </c>
      <c r="D193" s="50">
        <f aca="true" t="shared" si="5" ref="D193:J193">SUM(D178:D192)</f>
        <v>189172768.1317044</v>
      </c>
      <c r="E193" s="50">
        <f t="shared" si="5"/>
        <v>-3879059.361290903</v>
      </c>
      <c r="F193" s="50">
        <f t="shared" si="5"/>
        <v>185293708.77041352</v>
      </c>
      <c r="G193" s="50">
        <f t="shared" si="5"/>
        <v>0</v>
      </c>
      <c r="H193" s="50">
        <f t="shared" si="5"/>
        <v>0</v>
      </c>
      <c r="I193" s="50">
        <f t="shared" si="5"/>
        <v>3879059.361290902</v>
      </c>
      <c r="J193" s="50">
        <f t="shared" si="5"/>
        <v>189172768.1317044</v>
      </c>
      <c r="K193" s="22"/>
    </row>
    <row r="195" spans="2:11" ht="12.75">
      <c r="B195" s="103" t="s">
        <v>122</v>
      </c>
      <c r="C195" s="104"/>
      <c r="D195" s="104"/>
      <c r="E195" s="104"/>
      <c r="F195" s="104"/>
      <c r="G195" s="104"/>
      <c r="H195" s="104"/>
      <c r="I195" s="104"/>
      <c r="J195" s="104"/>
      <c r="K195" s="104"/>
    </row>
    <row r="196" spans="2:11" ht="12.75">
      <c r="B196" s="70" t="s">
        <v>123</v>
      </c>
      <c r="C196" s="104"/>
      <c r="D196" s="104"/>
      <c r="E196" s="104"/>
      <c r="F196" s="104"/>
      <c r="G196" s="104"/>
      <c r="H196" s="104"/>
      <c r="I196" s="104"/>
      <c r="J196" s="104"/>
      <c r="K196" s="104"/>
    </row>
    <row r="197" spans="2:11" ht="12.75">
      <c r="B197" s="104" t="s">
        <v>124</v>
      </c>
      <c r="C197" s="104"/>
      <c r="D197" s="104"/>
      <c r="E197" s="104"/>
      <c r="F197" s="104"/>
      <c r="G197" s="104"/>
      <c r="H197" s="104"/>
      <c r="I197" s="104"/>
      <c r="J197" s="104"/>
      <c r="K197" s="104"/>
    </row>
    <row r="198" spans="3:11" ht="12">
      <c r="C198" s="22"/>
      <c r="D198" s="22"/>
      <c r="E198" s="22"/>
      <c r="F198" s="22"/>
      <c r="G198" s="22"/>
      <c r="H198" s="22"/>
      <c r="I198" s="22"/>
      <c r="J198" s="22"/>
      <c r="K198" s="22"/>
    </row>
    <row r="199" spans="3:10" ht="12">
      <c r="C199" s="22"/>
      <c r="D199" s="22"/>
      <c r="E199" s="22"/>
      <c r="F199" s="22"/>
      <c r="G199" s="22"/>
      <c r="H199" s="22"/>
      <c r="I199" s="22"/>
      <c r="J199" s="22"/>
    </row>
    <row r="200" spans="2:8" ht="18">
      <c r="B200" s="13" t="s">
        <v>125</v>
      </c>
      <c r="C200" s="13"/>
      <c r="D200" s="13"/>
      <c r="E200" s="13"/>
      <c r="F200" s="13"/>
      <c r="G200" s="13"/>
      <c r="H200" s="13"/>
    </row>
    <row r="201" spans="2:8" ht="18">
      <c r="B201" s="13" t="s">
        <v>19</v>
      </c>
      <c r="C201" s="13"/>
      <c r="D201" s="13"/>
      <c r="E201" s="13"/>
      <c r="F201" s="13"/>
      <c r="G201" s="13"/>
      <c r="H201" s="13"/>
    </row>
    <row r="202" spans="2:7" ht="15">
      <c r="B202" s="25"/>
      <c r="C202" s="25"/>
      <c r="D202" s="25"/>
      <c r="E202" s="25"/>
      <c r="F202" s="25"/>
      <c r="G202" s="25"/>
    </row>
    <row r="203" spans="2:8" ht="15">
      <c r="B203" s="91"/>
      <c r="C203" s="91"/>
      <c r="D203" s="2">
        <v>-1</v>
      </c>
      <c r="E203" s="2">
        <v>-2</v>
      </c>
      <c r="F203" s="2">
        <v>-3</v>
      </c>
      <c r="G203" s="2">
        <v>-4</v>
      </c>
      <c r="H203" s="2">
        <v>-5</v>
      </c>
    </row>
    <row r="204" spans="2:8" ht="48">
      <c r="B204" s="1" t="s">
        <v>0</v>
      </c>
      <c r="C204" s="1" t="s">
        <v>126</v>
      </c>
      <c r="D204" s="47" t="s">
        <v>127</v>
      </c>
      <c r="E204" s="47" t="s">
        <v>116</v>
      </c>
      <c r="F204" s="47" t="s">
        <v>127</v>
      </c>
      <c r="G204" s="47" t="s">
        <v>128</v>
      </c>
      <c r="H204" s="47" t="s">
        <v>129</v>
      </c>
    </row>
    <row r="205" spans="2:8" ht="12.75">
      <c r="B205" s="4"/>
      <c r="C205" s="29" t="s">
        <v>130</v>
      </c>
      <c r="D205" s="30"/>
      <c r="E205" s="30"/>
      <c r="F205" s="30"/>
      <c r="G205" s="30"/>
      <c r="H205" s="30"/>
    </row>
    <row r="206" spans="2:11" ht="12.75">
      <c r="B206" s="18">
        <v>1</v>
      </c>
      <c r="C206" s="7" t="s">
        <v>9</v>
      </c>
      <c r="D206" s="66">
        <f>+F163</f>
        <v>1.73</v>
      </c>
      <c r="E206" s="66">
        <f>+$L$178</f>
        <v>1.0209346522719627</v>
      </c>
      <c r="F206" s="66">
        <f>+D206*E206</f>
        <v>1.7662169484304955</v>
      </c>
      <c r="G206" s="65">
        <v>1.0617296</v>
      </c>
      <c r="H206" s="66">
        <f>+D206*E206*G206</f>
        <v>1.8752448141703306</v>
      </c>
      <c r="K206" s="105"/>
    </row>
    <row r="207" spans="2:11" ht="12.75">
      <c r="B207" s="18">
        <v>2</v>
      </c>
      <c r="C207" s="7" t="s">
        <v>10</v>
      </c>
      <c r="D207" s="64">
        <f>F164</f>
        <v>2.249</v>
      </c>
      <c r="E207" s="64">
        <f>+$L$178</f>
        <v>1.0209346522719627</v>
      </c>
      <c r="F207" s="64">
        <f>+D207*E207</f>
        <v>2.296082032959644</v>
      </c>
      <c r="G207" s="65">
        <v>1.0617296</v>
      </c>
      <c r="H207" s="64">
        <f>+D207*E207*G207</f>
        <v>2.4378182584214296</v>
      </c>
      <c r="K207" s="105"/>
    </row>
    <row r="208" spans="2:11" ht="12.75">
      <c r="B208" s="18">
        <v>3</v>
      </c>
      <c r="C208" s="7" t="s">
        <v>121</v>
      </c>
      <c r="D208" s="64">
        <f>+D207</f>
        <v>2.249</v>
      </c>
      <c r="E208" s="64">
        <f>+$L$178</f>
        <v>1.0209346522719627</v>
      </c>
      <c r="F208" s="64">
        <f>+D208*E208</f>
        <v>2.296082032959644</v>
      </c>
      <c r="G208" s="65">
        <v>1.0617296</v>
      </c>
      <c r="H208" s="64">
        <f>+D208*E208*G208</f>
        <v>2.4378182584214296</v>
      </c>
      <c r="K208" s="105"/>
    </row>
    <row r="209" spans="2:8" ht="12.75">
      <c r="B209" s="4"/>
      <c r="C209" s="29" t="s">
        <v>131</v>
      </c>
      <c r="D209" s="30"/>
      <c r="E209" s="30"/>
      <c r="F209" s="30"/>
      <c r="G209" s="30"/>
      <c r="H209" s="30"/>
    </row>
    <row r="210" spans="2:8" ht="12.75">
      <c r="B210" s="18">
        <v>4</v>
      </c>
      <c r="C210" s="7" t="s">
        <v>9</v>
      </c>
      <c r="D210" s="64">
        <f>+F143</f>
        <v>13.469999999999999</v>
      </c>
      <c r="E210" s="64">
        <f>+$L$178</f>
        <v>1.0209346522719627</v>
      </c>
      <c r="F210" s="64">
        <f>+D210*E210</f>
        <v>13.751989766103335</v>
      </c>
      <c r="G210" s="65">
        <f>G$206</f>
        <v>1.0617296</v>
      </c>
      <c r="H210" s="64">
        <f>+D210*E210*G210</f>
        <v>14.600894593568988</v>
      </c>
    </row>
    <row r="211" spans="2:8" ht="12.75">
      <c r="B211" s="18"/>
      <c r="C211" s="7" t="s">
        <v>10</v>
      </c>
      <c r="D211" s="106"/>
      <c r="E211" s="106"/>
      <c r="F211" s="106"/>
      <c r="G211" s="107"/>
      <c r="H211" s="106"/>
    </row>
    <row r="212" spans="2:8" ht="12.75">
      <c r="B212" s="18">
        <v>5</v>
      </c>
      <c r="C212" s="7" t="s">
        <v>132</v>
      </c>
      <c r="D212" s="64">
        <f>+E144</f>
        <v>5.442</v>
      </c>
      <c r="E212" s="64">
        <f>+$L$178</f>
        <v>1.0209346522719627</v>
      </c>
      <c r="F212" s="64">
        <f>+D212*E212</f>
        <v>5.555926377664021</v>
      </c>
      <c r="G212" s="65">
        <f>G$206</f>
        <v>1.0617296</v>
      </c>
      <c r="H212" s="64">
        <f>+D212*E212*G212</f>
        <v>5.898891490586671</v>
      </c>
    </row>
    <row r="213" spans="2:8" ht="12.75">
      <c r="B213" s="18">
        <v>6</v>
      </c>
      <c r="C213" s="7" t="s">
        <v>133</v>
      </c>
      <c r="D213" s="64">
        <f>+D144</f>
        <v>0.809</v>
      </c>
      <c r="E213" s="64">
        <f>+$L$178</f>
        <v>1.0209346522719627</v>
      </c>
      <c r="F213" s="64">
        <f>+D213*E213</f>
        <v>0.8259361336880179</v>
      </c>
      <c r="G213" s="65">
        <f>G$206</f>
        <v>1.0617296</v>
      </c>
      <c r="H213" s="64">
        <f>+D213*E213*G213</f>
        <v>0.8769208408461258</v>
      </c>
    </row>
    <row r="214" spans="2:8" ht="12.75">
      <c r="B214" s="18"/>
      <c r="C214" s="7" t="s">
        <v>121</v>
      </c>
      <c r="D214" s="106"/>
      <c r="E214" s="106"/>
      <c r="F214" s="106"/>
      <c r="G214" s="107"/>
      <c r="H214" s="106"/>
    </row>
    <row r="215" spans="2:8" ht="12.75">
      <c r="B215" s="18">
        <v>7</v>
      </c>
      <c r="C215" s="7" t="s">
        <v>132</v>
      </c>
      <c r="D215" s="64">
        <f>+D212</f>
        <v>5.442</v>
      </c>
      <c r="E215" s="64">
        <f>+$L$178</f>
        <v>1.0209346522719627</v>
      </c>
      <c r="F215" s="64">
        <f>+D215*E215</f>
        <v>5.555926377664021</v>
      </c>
      <c r="G215" s="65">
        <f>G$206</f>
        <v>1.0617296</v>
      </c>
      <c r="H215" s="64">
        <f>+D215*E215*G215</f>
        <v>5.898891490586671</v>
      </c>
    </row>
    <row r="216" spans="2:8" ht="12.75">
      <c r="B216" s="18">
        <v>8</v>
      </c>
      <c r="C216" s="7" t="s">
        <v>133</v>
      </c>
      <c r="D216" s="64">
        <f>+D213</f>
        <v>0.809</v>
      </c>
      <c r="E216" s="64">
        <f>+$L$178</f>
        <v>1.0209346522719627</v>
      </c>
      <c r="F216" s="64">
        <f>+D216*E216</f>
        <v>0.8259361336880179</v>
      </c>
      <c r="G216" s="65">
        <f>G$206</f>
        <v>1.0617296</v>
      </c>
      <c r="H216" s="64">
        <f>+D216*E216*G216</f>
        <v>0.8769208408461258</v>
      </c>
    </row>
    <row r="218" spans="2:10" ht="12.75">
      <c r="B218" s="103" t="s">
        <v>122</v>
      </c>
      <c r="C218" s="104" t="s">
        <v>134</v>
      </c>
      <c r="D218" s="104"/>
      <c r="E218" s="104"/>
      <c r="F218" s="104"/>
      <c r="G218" s="104"/>
      <c r="H218" s="104"/>
      <c r="I218" s="104"/>
      <c r="J218" s="104"/>
    </row>
    <row r="219" spans="2:10" ht="12.75">
      <c r="B219" s="103"/>
      <c r="C219" s="104"/>
      <c r="D219" s="104"/>
      <c r="E219" s="104"/>
      <c r="F219" s="104"/>
      <c r="G219" s="104"/>
      <c r="H219" s="104"/>
      <c r="I219" s="104"/>
      <c r="J219" s="104"/>
    </row>
    <row r="220" spans="2:10" ht="12.75">
      <c r="B220" s="103"/>
      <c r="C220" s="104"/>
      <c r="D220" s="104"/>
      <c r="E220" s="104"/>
      <c r="F220" s="104"/>
      <c r="G220" s="104"/>
      <c r="H220" s="104"/>
      <c r="I220" s="104"/>
      <c r="J220" s="104"/>
    </row>
    <row r="221" spans="2:10" ht="15">
      <c r="B221" s="108" t="s">
        <v>135</v>
      </c>
      <c r="C221" s="108"/>
      <c r="D221" s="108"/>
      <c r="E221" s="108"/>
      <c r="F221" s="108"/>
      <c r="G221" s="104"/>
      <c r="H221" s="104"/>
      <c r="I221" s="104"/>
      <c r="J221" s="104"/>
    </row>
    <row r="222" spans="2:10" ht="15">
      <c r="B222" s="108" t="s">
        <v>136</v>
      </c>
      <c r="C222" s="108"/>
      <c r="D222" s="108"/>
      <c r="E222" s="108"/>
      <c r="F222" s="108"/>
      <c r="G222" s="104"/>
      <c r="H222" s="104"/>
      <c r="I222" s="104"/>
      <c r="J222" s="104"/>
    </row>
    <row r="223" spans="2:10" ht="15">
      <c r="B223" s="72"/>
      <c r="C223" s="72"/>
      <c r="D223" s="72"/>
      <c r="E223" s="72"/>
      <c r="F223" s="104"/>
      <c r="G223" s="104"/>
      <c r="H223" s="104"/>
      <c r="I223" s="104"/>
      <c r="J223" s="104"/>
    </row>
    <row r="224" spans="2:10" ht="15">
      <c r="B224" s="91"/>
      <c r="C224" s="91"/>
      <c r="D224" s="2">
        <v>-1</v>
      </c>
      <c r="E224" s="2">
        <v>-2</v>
      </c>
      <c r="F224" s="2">
        <v>-3</v>
      </c>
      <c r="G224" s="104"/>
      <c r="H224" s="104"/>
      <c r="I224" s="104"/>
      <c r="J224" s="104"/>
    </row>
    <row r="225" spans="2:10" ht="48">
      <c r="B225" s="1" t="s">
        <v>0</v>
      </c>
      <c r="C225" s="1" t="s">
        <v>92</v>
      </c>
      <c r="D225" s="47" t="s">
        <v>137</v>
      </c>
      <c r="E225" s="47" t="s">
        <v>138</v>
      </c>
      <c r="F225" s="47" t="s">
        <v>139</v>
      </c>
      <c r="G225" s="104"/>
      <c r="H225" s="104"/>
      <c r="I225" s="104"/>
      <c r="J225" s="104"/>
    </row>
    <row r="226" spans="2:10" ht="12.75">
      <c r="B226" s="5" t="s">
        <v>140</v>
      </c>
      <c r="C226" s="4"/>
      <c r="D226" s="4"/>
      <c r="E226" s="4"/>
      <c r="F226" s="4"/>
      <c r="G226" s="104"/>
      <c r="H226" s="104"/>
      <c r="I226" s="104"/>
      <c r="J226" s="104"/>
    </row>
    <row r="227" spans="2:10" ht="12.75">
      <c r="B227" s="18">
        <v>1</v>
      </c>
      <c r="C227" s="109" t="s">
        <v>141</v>
      </c>
      <c r="D227" s="66">
        <f>H210</f>
        <v>14.600894593568988</v>
      </c>
      <c r="E227" s="66">
        <f>D227</f>
        <v>14.600894593568988</v>
      </c>
      <c r="F227" s="66"/>
      <c r="G227" s="104"/>
      <c r="H227" s="104"/>
      <c r="I227" s="104"/>
      <c r="J227" s="104"/>
    </row>
    <row r="228" spans="2:10" ht="12.75">
      <c r="B228" s="5" t="s">
        <v>142</v>
      </c>
      <c r="C228" s="4"/>
      <c r="D228" s="4"/>
      <c r="E228" s="4"/>
      <c r="F228" s="4"/>
      <c r="G228" s="104"/>
      <c r="H228" s="104"/>
      <c r="I228" s="104"/>
      <c r="J228" s="104"/>
    </row>
    <row r="229" spans="2:10" ht="12.75">
      <c r="B229" s="18">
        <v>2</v>
      </c>
      <c r="C229" s="109" t="s">
        <v>143</v>
      </c>
      <c r="D229" s="66">
        <f>H206</f>
        <v>1.8752448141703306</v>
      </c>
      <c r="E229" s="66">
        <f>D229</f>
        <v>1.8752448141703306</v>
      </c>
      <c r="F229" s="66"/>
      <c r="G229" s="104"/>
      <c r="H229" s="104"/>
      <c r="I229" s="104"/>
      <c r="J229" s="104"/>
    </row>
    <row r="230" spans="2:10" ht="12.75">
      <c r="B230" s="110"/>
      <c r="C230" s="111"/>
      <c r="D230" s="112"/>
      <c r="E230" s="113"/>
      <c r="F230" s="104"/>
      <c r="G230" s="104"/>
      <c r="H230" s="104"/>
      <c r="I230" s="104"/>
      <c r="J230" s="104"/>
    </row>
    <row r="231" spans="2:10" ht="12.75">
      <c r="B231" s="103"/>
      <c r="C231" s="104"/>
      <c r="D231" s="104"/>
      <c r="E231" s="104"/>
      <c r="F231" s="104"/>
      <c r="G231" s="104"/>
      <c r="H231" s="104"/>
      <c r="I231" s="104"/>
      <c r="J231" s="104"/>
    </row>
    <row r="232" spans="2:9" ht="15">
      <c r="B232" s="108" t="s">
        <v>144</v>
      </c>
      <c r="C232" s="108"/>
      <c r="D232" s="108"/>
      <c r="E232" s="108"/>
      <c r="F232" s="104"/>
      <c r="G232" s="104"/>
      <c r="H232" s="104"/>
      <c r="I232" s="104"/>
    </row>
    <row r="233" spans="2:9" ht="30.75">
      <c r="B233" s="121" t="s">
        <v>145</v>
      </c>
      <c r="C233" s="121"/>
      <c r="D233" s="121"/>
      <c r="E233" s="121"/>
      <c r="F233" s="104"/>
      <c r="G233" s="104"/>
      <c r="H233" s="104"/>
      <c r="I233" s="104"/>
    </row>
    <row r="234" spans="2:9" ht="15">
      <c r="B234" s="72"/>
      <c r="C234" s="72"/>
      <c r="D234" s="72"/>
      <c r="E234" s="72"/>
      <c r="F234" s="104"/>
      <c r="G234" s="104"/>
      <c r="H234" s="104"/>
      <c r="I234" s="104"/>
    </row>
    <row r="235" spans="2:9" ht="15">
      <c r="B235" s="91"/>
      <c r="C235" s="91"/>
      <c r="D235" s="2">
        <v>-1</v>
      </c>
      <c r="E235" s="2">
        <v>-2</v>
      </c>
      <c r="F235" s="104"/>
      <c r="G235" s="104"/>
      <c r="H235" s="104"/>
      <c r="I235" s="104"/>
    </row>
    <row r="236" spans="2:9" ht="48">
      <c r="B236" s="1" t="s">
        <v>0</v>
      </c>
      <c r="C236" s="1" t="s">
        <v>92</v>
      </c>
      <c r="D236" s="47" t="s">
        <v>137</v>
      </c>
      <c r="E236" s="47" t="s">
        <v>137</v>
      </c>
      <c r="F236" s="104"/>
      <c r="G236" s="104"/>
      <c r="H236" s="104"/>
      <c r="I236" s="104"/>
    </row>
    <row r="237" spans="2:9" ht="12.75">
      <c r="B237" s="5" t="s">
        <v>140</v>
      </c>
      <c r="C237" s="5"/>
      <c r="D237" s="5"/>
      <c r="E237" s="5"/>
      <c r="F237" s="104"/>
      <c r="G237" s="104"/>
      <c r="H237" s="104"/>
      <c r="I237" s="104"/>
    </row>
    <row r="238" spans="2:9" ht="12.75">
      <c r="B238" s="18">
        <v>1</v>
      </c>
      <c r="C238" s="7" t="s">
        <v>146</v>
      </c>
      <c r="D238" s="66">
        <f>D227</f>
        <v>14.600894593568988</v>
      </c>
      <c r="E238" s="66">
        <f>D238</f>
        <v>14.600894593568988</v>
      </c>
      <c r="F238" s="104"/>
      <c r="G238" s="114"/>
      <c r="H238" s="104"/>
      <c r="I238" s="104"/>
    </row>
    <row r="239" spans="2:9" ht="12.75">
      <c r="B239" s="18">
        <v>2</v>
      </c>
      <c r="C239" s="7" t="s">
        <v>147</v>
      </c>
      <c r="D239" s="65">
        <f>H213</f>
        <v>0.8769208408461258</v>
      </c>
      <c r="E239" s="65">
        <f>D239</f>
        <v>0.8769208408461258</v>
      </c>
      <c r="F239" s="104"/>
      <c r="G239" s="114"/>
      <c r="H239" s="104"/>
      <c r="I239" s="104"/>
    </row>
    <row r="240" spans="2:9" ht="12.75">
      <c r="B240" s="18">
        <v>3</v>
      </c>
      <c r="C240" s="7" t="s">
        <v>148</v>
      </c>
      <c r="D240" s="65">
        <f>H212</f>
        <v>5.898891490586671</v>
      </c>
      <c r="E240" s="65">
        <f>D240</f>
        <v>5.898891490586671</v>
      </c>
      <c r="F240" s="104"/>
      <c r="G240" s="114"/>
      <c r="H240" s="104"/>
      <c r="I240" s="104"/>
    </row>
    <row r="241" spans="2:9" ht="12.75">
      <c r="B241" s="5" t="s">
        <v>142</v>
      </c>
      <c r="C241" s="4"/>
      <c r="D241" s="4"/>
      <c r="E241" s="4"/>
      <c r="F241" s="104"/>
      <c r="G241" s="114"/>
      <c r="H241" s="104"/>
      <c r="I241" s="104"/>
    </row>
    <row r="242" spans="2:9" ht="12.75">
      <c r="B242" s="18">
        <v>4</v>
      </c>
      <c r="C242" s="7" t="s">
        <v>143</v>
      </c>
      <c r="D242" s="66">
        <f>H207</f>
        <v>2.4378182584214296</v>
      </c>
      <c r="E242" s="66">
        <f>D242</f>
        <v>2.4378182584214296</v>
      </c>
      <c r="F242" s="104"/>
      <c r="G242" s="104"/>
      <c r="H242" s="104"/>
      <c r="I242" s="10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0" bestFit="1" customWidth="1"/>
    <col min="3" max="3" width="33.57421875" style="0" customWidth="1"/>
    <col min="4" max="4" width="15.140625" style="0" customWidth="1"/>
    <col min="5" max="5" width="14.00390625" style="0" customWidth="1"/>
    <col min="6" max="6" width="16.421875" style="0" bestFit="1" customWidth="1"/>
    <col min="7" max="7" width="14.421875" style="0" bestFit="1" customWidth="1"/>
    <col min="8" max="8" width="11.00390625" style="0" customWidth="1"/>
    <col min="9" max="9" width="11.00390625" style="0" bestFit="1" customWidth="1"/>
    <col min="10" max="10" width="13.140625" style="0" bestFit="1" customWidth="1"/>
    <col min="11" max="11" width="12.57421875" style="0" customWidth="1"/>
    <col min="12" max="12" width="12.421875" style="0" customWidth="1"/>
  </cols>
  <sheetData>
    <row r="1" spans="1:3" ht="15">
      <c r="A1" s="10" t="s">
        <v>2</v>
      </c>
      <c r="B1" s="11" t="s">
        <v>3</v>
      </c>
      <c r="C1" s="12"/>
    </row>
    <row r="3" spans="2:17" ht="27.75" customHeight="1">
      <c r="B3" s="127" t="s">
        <v>179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6" spans="2:5" ht="36">
      <c r="B6" s="120" t="s">
        <v>4</v>
      </c>
      <c r="C6" s="120"/>
      <c r="D6" s="120"/>
      <c r="E6" s="120"/>
    </row>
    <row r="7" spans="2:5" ht="18">
      <c r="B7" s="13"/>
      <c r="C7" s="13"/>
      <c r="D7" s="13"/>
      <c r="E7" s="13"/>
    </row>
    <row r="8" ht="12.75">
      <c r="G8" s="14"/>
    </row>
    <row r="9" spans="2:7" ht="15.75">
      <c r="B9" s="15"/>
      <c r="C9" s="15"/>
      <c r="D9" s="2">
        <v>-1</v>
      </c>
      <c r="E9" s="2">
        <v>-2</v>
      </c>
      <c r="G9" s="14"/>
    </row>
    <row r="10" spans="2:7" ht="17.25">
      <c r="B10" s="1" t="s">
        <v>0</v>
      </c>
      <c r="C10" s="1" t="s">
        <v>5</v>
      </c>
      <c r="D10" s="3" t="s">
        <v>6</v>
      </c>
      <c r="E10" s="3" t="s">
        <v>7</v>
      </c>
      <c r="G10" s="14"/>
    </row>
    <row r="11" spans="2:7" ht="15">
      <c r="B11" s="16"/>
      <c r="C11" s="16" t="s">
        <v>8</v>
      </c>
      <c r="D11" s="17"/>
      <c r="E11" s="17"/>
      <c r="G11" s="14"/>
    </row>
    <row r="12" spans="2:7" ht="12.75">
      <c r="B12" s="18">
        <v>1</v>
      </c>
      <c r="C12" s="7" t="s">
        <v>9</v>
      </c>
      <c r="D12" s="19">
        <v>462669.6964285714</v>
      </c>
      <c r="E12" s="19">
        <v>462669.54464285716</v>
      </c>
      <c r="G12" s="14"/>
    </row>
    <row r="13" spans="2:7" ht="12.75">
      <c r="B13" s="18">
        <v>2</v>
      </c>
      <c r="C13" s="7" t="s">
        <v>10</v>
      </c>
      <c r="D13" s="19">
        <v>73240.30357142857</v>
      </c>
      <c r="E13" s="19">
        <v>73223.45535714287</v>
      </c>
      <c r="G13" s="14"/>
    </row>
    <row r="14" spans="2:7" ht="12.75">
      <c r="B14" s="18">
        <v>3</v>
      </c>
      <c r="C14" s="7" t="s">
        <v>11</v>
      </c>
      <c r="D14" s="19">
        <v>2181</v>
      </c>
      <c r="E14" s="19">
        <v>2181</v>
      </c>
      <c r="G14" s="14"/>
    </row>
    <row r="15" spans="2:7" ht="12.75">
      <c r="B15" s="20"/>
      <c r="C15" s="20"/>
      <c r="D15" s="21"/>
      <c r="E15" s="21"/>
      <c r="G15" s="14"/>
    </row>
    <row r="16" spans="1:7" ht="12.75">
      <c r="A16" s="22"/>
      <c r="B16" s="18">
        <v>4</v>
      </c>
      <c r="C16" s="7" t="s">
        <v>12</v>
      </c>
      <c r="D16" s="23">
        <f>SUM(D12:D15)</f>
        <v>538091</v>
      </c>
      <c r="E16" s="23">
        <f>SUM(E12:E15)</f>
        <v>538074</v>
      </c>
      <c r="F16" s="22"/>
      <c r="G16" s="14"/>
    </row>
    <row r="17" spans="2:7" ht="12.75">
      <c r="B17" s="24"/>
      <c r="C17" s="24"/>
      <c r="D17" s="24"/>
      <c r="E17" s="24"/>
      <c r="G17" s="14"/>
    </row>
    <row r="18" spans="2:7" ht="15">
      <c r="B18" s="16" t="s">
        <v>13</v>
      </c>
      <c r="C18" s="16"/>
      <c r="D18" s="17"/>
      <c r="E18" s="17"/>
      <c r="G18" s="14"/>
    </row>
    <row r="19" spans="2:7" ht="12.75">
      <c r="B19" s="18">
        <v>5</v>
      </c>
      <c r="C19" s="7" t="s">
        <v>9</v>
      </c>
      <c r="D19" s="19">
        <v>555203.5415387482</v>
      </c>
      <c r="E19" s="19">
        <v>555203.3123081224</v>
      </c>
      <c r="G19" s="14"/>
    </row>
    <row r="20" spans="2:7" ht="12.75">
      <c r="B20" s="18">
        <v>6</v>
      </c>
      <c r="C20" s="7" t="s">
        <v>10</v>
      </c>
      <c r="D20" s="19">
        <v>606074.0087813605</v>
      </c>
      <c r="E20" s="19">
        <v>600158.1610685977</v>
      </c>
      <c r="G20" s="14"/>
    </row>
    <row r="21" spans="2:7" ht="12.75">
      <c r="B21" s="18">
        <v>7</v>
      </c>
      <c r="C21" s="7" t="s">
        <v>11</v>
      </c>
      <c r="D21" s="19">
        <v>20729.358679891033</v>
      </c>
      <c r="E21" s="19">
        <v>20476.56262327985</v>
      </c>
      <c r="G21" s="14"/>
    </row>
    <row r="22" spans="2:7" ht="12.75">
      <c r="B22" s="20"/>
      <c r="C22" s="20"/>
      <c r="D22" s="21"/>
      <c r="E22" s="21"/>
      <c r="G22" s="14"/>
    </row>
    <row r="23" spans="1:7" ht="12.75">
      <c r="A23" s="22"/>
      <c r="B23" s="18">
        <v>8</v>
      </c>
      <c r="C23" s="7" t="s">
        <v>14</v>
      </c>
      <c r="D23" s="23">
        <f>SUM(D19:D22)</f>
        <v>1182006.9089999998</v>
      </c>
      <c r="E23" s="23">
        <f>SUM(E19:E22)</f>
        <v>1175838.036</v>
      </c>
      <c r="F23" s="22"/>
      <c r="G23" s="14"/>
    </row>
    <row r="24" spans="2:7" ht="12.75">
      <c r="B24" s="24"/>
      <c r="C24" s="24"/>
      <c r="D24" s="24"/>
      <c r="E24" s="24"/>
      <c r="G24" s="14"/>
    </row>
    <row r="25" spans="2:7" ht="15">
      <c r="B25" s="16"/>
      <c r="C25" s="16" t="s">
        <v>15</v>
      </c>
      <c r="D25" s="17"/>
      <c r="E25" s="17"/>
      <c r="G25" s="14"/>
    </row>
    <row r="26" spans="2:7" ht="12.75">
      <c r="B26" s="18">
        <v>9</v>
      </c>
      <c r="C26" s="7" t="s">
        <v>9</v>
      </c>
      <c r="D26" s="19">
        <v>976231.7801720412</v>
      </c>
      <c r="E26" s="19">
        <v>976230.8202580618</v>
      </c>
      <c r="G26" s="14"/>
    </row>
    <row r="27" spans="2:7" ht="12.75">
      <c r="B27" s="18">
        <v>10</v>
      </c>
      <c r="C27" s="7" t="s">
        <v>10</v>
      </c>
      <c r="D27" s="19">
        <v>1083413.6537617554</v>
      </c>
      <c r="E27" s="19">
        <v>1069072.8657339911</v>
      </c>
      <c r="G27" s="14"/>
    </row>
    <row r="28" spans="2:7" ht="12.75">
      <c r="B28" s="18">
        <v>11</v>
      </c>
      <c r="C28" s="7" t="s">
        <v>11</v>
      </c>
      <c r="D28" s="19">
        <v>28684.14306620331</v>
      </c>
      <c r="E28" s="19">
        <v>28353.12800794687</v>
      </c>
      <c r="G28" s="14"/>
    </row>
    <row r="29" spans="2:5" ht="12.75">
      <c r="B29" s="20"/>
      <c r="C29" s="20"/>
      <c r="D29" s="21"/>
      <c r="E29" s="21"/>
    </row>
    <row r="30" spans="1:6" ht="12.75">
      <c r="A30" s="22"/>
      <c r="B30" s="18">
        <v>12</v>
      </c>
      <c r="C30" s="7" t="s">
        <v>16</v>
      </c>
      <c r="D30" s="23">
        <f>SUM(D26:D29)</f>
        <v>2088329.5769999998</v>
      </c>
      <c r="E30" s="23">
        <f>SUM(E26:E29)</f>
        <v>2073656.8139999995</v>
      </c>
      <c r="F30" s="22"/>
    </row>
    <row r="33" spans="2:17" ht="18">
      <c r="B33" s="13" t="s">
        <v>17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2:17" ht="18">
      <c r="B34" s="13" t="s">
        <v>18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2:17" ht="18">
      <c r="B35" s="13" t="s">
        <v>19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2:11" ht="15.75"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2:17" ht="15.75">
      <c r="B37" s="15"/>
      <c r="C37" s="15"/>
      <c r="D37" s="2">
        <v>-1</v>
      </c>
      <c r="E37" s="2">
        <v>-2</v>
      </c>
      <c r="F37" s="2">
        <v>-3</v>
      </c>
      <c r="G37" s="2">
        <v>-4</v>
      </c>
      <c r="H37" s="2">
        <v>-5</v>
      </c>
      <c r="I37" s="2">
        <v>-6</v>
      </c>
      <c r="J37" s="2">
        <v>-7</v>
      </c>
      <c r="K37" s="2">
        <v>-8</v>
      </c>
      <c r="L37" s="2">
        <f aca="true" t="shared" si="0" ref="L37:Q37">K37-1</f>
        <v>-9</v>
      </c>
      <c r="M37" s="2">
        <f t="shared" si="0"/>
        <v>-10</v>
      </c>
      <c r="N37" s="2">
        <f t="shared" si="0"/>
        <v>-11</v>
      </c>
      <c r="O37" s="2">
        <f t="shared" si="0"/>
        <v>-12</v>
      </c>
      <c r="P37" s="2">
        <f t="shared" si="0"/>
        <v>-13</v>
      </c>
      <c r="Q37" s="2">
        <f t="shared" si="0"/>
        <v>-14</v>
      </c>
    </row>
    <row r="38" spans="2:17" ht="17.25">
      <c r="B38" s="26"/>
      <c r="C38" s="26"/>
      <c r="D38" s="26"/>
      <c r="E38" s="27" t="s">
        <v>20</v>
      </c>
      <c r="F38" s="27"/>
      <c r="G38" s="27"/>
      <c r="H38" s="27"/>
      <c r="I38" s="27" t="s">
        <v>21</v>
      </c>
      <c r="J38" s="27"/>
      <c r="K38" s="27"/>
      <c r="L38" s="27"/>
      <c r="M38" s="27" t="s">
        <v>22</v>
      </c>
      <c r="N38" s="27"/>
      <c r="O38" s="27"/>
      <c r="P38" s="27" t="s">
        <v>23</v>
      </c>
      <c r="Q38" s="27"/>
    </row>
    <row r="39" spans="2:17" ht="69">
      <c r="B39" s="1" t="s">
        <v>0</v>
      </c>
      <c r="C39" s="1" t="s">
        <v>24</v>
      </c>
      <c r="D39" s="28" t="s">
        <v>25</v>
      </c>
      <c r="E39" s="3" t="s">
        <v>26</v>
      </c>
      <c r="F39" s="3" t="s">
        <v>27</v>
      </c>
      <c r="G39" s="3" t="s">
        <v>28</v>
      </c>
      <c r="H39" s="3" t="s">
        <v>29</v>
      </c>
      <c r="I39" s="3" t="s">
        <v>30</v>
      </c>
      <c r="J39" s="3" t="s">
        <v>31</v>
      </c>
      <c r="K39" s="3" t="s">
        <v>32</v>
      </c>
      <c r="L39" s="3" t="s">
        <v>33</v>
      </c>
      <c r="M39" s="3" t="s">
        <v>34</v>
      </c>
      <c r="N39" s="3" t="s">
        <v>35</v>
      </c>
      <c r="O39" s="3" t="s">
        <v>36</v>
      </c>
      <c r="P39" s="3" t="s">
        <v>37</v>
      </c>
      <c r="Q39" s="3" t="s">
        <v>38</v>
      </c>
    </row>
    <row r="40" spans="2:17" ht="12.75">
      <c r="B40" s="4"/>
      <c r="C40" s="29" t="s">
        <v>39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2:17" ht="12.75">
      <c r="B41" s="18">
        <v>1</v>
      </c>
      <c r="C41" s="7" t="s">
        <v>40</v>
      </c>
      <c r="D41" s="31">
        <f>SUM(E41:Q41)</f>
        <v>1098038.4</v>
      </c>
      <c r="E41" s="32">
        <v>0</v>
      </c>
      <c r="F41" s="32">
        <v>0</v>
      </c>
      <c r="G41" s="32">
        <v>1098038.4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</row>
    <row r="42" spans="2:17" ht="12.75">
      <c r="B42" s="18">
        <v>2</v>
      </c>
      <c r="C42" s="7" t="s">
        <v>41</v>
      </c>
      <c r="D42" s="33">
        <f>SUM(E42:Q42)</f>
        <v>95942.63429289404</v>
      </c>
      <c r="E42" s="34">
        <v>0</v>
      </c>
      <c r="F42" s="34">
        <v>0</v>
      </c>
      <c r="G42" s="34">
        <v>65875.8</v>
      </c>
      <c r="H42" s="34">
        <v>18122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11944.83429289404</v>
      </c>
      <c r="O42" s="34">
        <v>0</v>
      </c>
      <c r="P42" s="34">
        <v>0</v>
      </c>
      <c r="Q42" s="34">
        <v>0</v>
      </c>
    </row>
    <row r="43" spans="2:17" ht="12.75">
      <c r="B43" s="18">
        <v>3</v>
      </c>
      <c r="C43" s="7" t="s">
        <v>42</v>
      </c>
      <c r="D43" s="33">
        <f>SUM(E43:Q43)</f>
        <v>48396.4</v>
      </c>
      <c r="E43" s="34">
        <v>0</v>
      </c>
      <c r="F43" s="34">
        <v>0</v>
      </c>
      <c r="G43" s="34">
        <v>48396.4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</row>
    <row r="44" spans="1:17" ht="12.75">
      <c r="A44" s="22"/>
      <c r="B44" s="18">
        <v>4</v>
      </c>
      <c r="C44" s="7" t="s">
        <v>43</v>
      </c>
      <c r="D44" s="33">
        <f>SUM(E44:Q44)</f>
        <v>21937.5</v>
      </c>
      <c r="E44" s="34">
        <v>0</v>
      </c>
      <c r="F44" s="34">
        <v>0</v>
      </c>
      <c r="G44" s="34">
        <v>21937.5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</row>
    <row r="45" spans="2:17" ht="12.75">
      <c r="B45" s="35"/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2:17" ht="12.75">
      <c r="B46" s="18">
        <v>5</v>
      </c>
      <c r="C46" s="7" t="s">
        <v>44</v>
      </c>
      <c r="D46" s="33">
        <f>SUM(E46:Q46)</f>
        <v>166276.53429289407</v>
      </c>
      <c r="E46" s="38">
        <f>SUM(E42:E45)</f>
        <v>0</v>
      </c>
      <c r="F46" s="38">
        <f>SUM(F42:F45)</f>
        <v>0</v>
      </c>
      <c r="G46" s="38">
        <f>SUM(G42:G45)</f>
        <v>136209.7</v>
      </c>
      <c r="H46" s="38">
        <f aca="true" t="shared" si="1" ref="H46:N46">SUM(H42:H45)</f>
        <v>18122</v>
      </c>
      <c r="I46" s="38">
        <f t="shared" si="1"/>
        <v>0</v>
      </c>
      <c r="J46" s="38">
        <f t="shared" si="1"/>
        <v>0</v>
      </c>
      <c r="K46" s="38">
        <f t="shared" si="1"/>
        <v>0</v>
      </c>
      <c r="L46" s="38">
        <f t="shared" si="1"/>
        <v>0</v>
      </c>
      <c r="M46" s="38">
        <f t="shared" si="1"/>
        <v>0</v>
      </c>
      <c r="N46" s="38">
        <f t="shared" si="1"/>
        <v>11944.83429289404</v>
      </c>
      <c r="O46" s="38">
        <f>SUM(O42:O45)</f>
        <v>0</v>
      </c>
      <c r="P46" s="38">
        <f>SUM(P42:P45)</f>
        <v>0</v>
      </c>
      <c r="Q46" s="38">
        <f>SUM(Q42:Q45)</f>
        <v>0</v>
      </c>
    </row>
    <row r="47" spans="2:17" ht="12.75">
      <c r="B47" s="39"/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2:17" ht="12.75">
      <c r="B48" s="4"/>
      <c r="C48" s="29" t="s">
        <v>45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2:17" ht="13.5" thickBot="1">
      <c r="B49" s="18">
        <v>6</v>
      </c>
      <c r="C49" s="7" t="s">
        <v>46</v>
      </c>
      <c r="D49" s="33">
        <f>SUM(E49:Q49)</f>
        <v>21139.9626225231</v>
      </c>
      <c r="E49" s="42">
        <v>555.0066114405644</v>
      </c>
      <c r="F49" s="42">
        <v>4267.306587963629</v>
      </c>
      <c r="G49" s="42">
        <v>0</v>
      </c>
      <c r="H49" s="42">
        <v>0</v>
      </c>
      <c r="I49" s="42">
        <v>6750.341239147378</v>
      </c>
      <c r="J49" s="42">
        <v>4971.821502486066</v>
      </c>
      <c r="K49" s="42">
        <v>4038.712170008457</v>
      </c>
      <c r="L49" s="43">
        <v>556.7745114770069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</row>
    <row r="50" spans="2:17" ht="15.75" thickTop="1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5"/>
    </row>
    <row r="51" spans="2:17" ht="12.75">
      <c r="B51" s="18">
        <v>7</v>
      </c>
      <c r="C51" s="7" t="s">
        <v>1</v>
      </c>
      <c r="D51" s="33">
        <f>SUM(E51:Q51)</f>
        <v>187416.49691541714</v>
      </c>
      <c r="E51" s="46">
        <f>E46+E49</f>
        <v>555.0066114405644</v>
      </c>
      <c r="F51" s="46">
        <f aca="true" t="shared" si="2" ref="F51:Q51">F46+F49</f>
        <v>4267.306587963629</v>
      </c>
      <c r="G51" s="46">
        <f t="shared" si="2"/>
        <v>136209.7</v>
      </c>
      <c r="H51" s="46">
        <f t="shared" si="2"/>
        <v>18122</v>
      </c>
      <c r="I51" s="46">
        <f t="shared" si="2"/>
        <v>6750.341239147378</v>
      </c>
      <c r="J51" s="46">
        <f t="shared" si="2"/>
        <v>4971.821502486066</v>
      </c>
      <c r="K51" s="46">
        <f t="shared" si="2"/>
        <v>4038.712170008457</v>
      </c>
      <c r="L51" s="46">
        <f t="shared" si="2"/>
        <v>556.7745114770069</v>
      </c>
      <c r="M51" s="46">
        <f>M46+M49</f>
        <v>0</v>
      </c>
      <c r="N51" s="46">
        <f t="shared" si="2"/>
        <v>11944.83429289404</v>
      </c>
      <c r="O51" s="46">
        <f t="shared" si="2"/>
        <v>0</v>
      </c>
      <c r="P51" s="46">
        <f t="shared" si="2"/>
        <v>0</v>
      </c>
      <c r="Q51" s="46">
        <f t="shared" si="2"/>
        <v>0</v>
      </c>
    </row>
    <row r="52" spans="2:11" ht="12.75"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60" spans="2:5" ht="15.75">
      <c r="B60" s="108" t="s">
        <v>47</v>
      </c>
      <c r="C60" s="108"/>
      <c r="D60" s="108"/>
      <c r="E60" s="108"/>
    </row>
    <row r="61" spans="2:5" ht="15.75">
      <c r="B61" s="108" t="s">
        <v>18</v>
      </c>
      <c r="C61" s="108"/>
      <c r="D61" s="108"/>
      <c r="E61" s="108"/>
    </row>
    <row r="62" spans="2:5" ht="15.75">
      <c r="B62" s="108" t="s">
        <v>19</v>
      </c>
      <c r="C62" s="108"/>
      <c r="D62" s="108"/>
      <c r="E62" s="108"/>
    </row>
    <row r="63" spans="2:5" ht="15.75">
      <c r="B63" s="25"/>
      <c r="C63" s="25"/>
      <c r="D63" s="25"/>
      <c r="E63" s="25"/>
    </row>
    <row r="64" spans="2:5" ht="17.25">
      <c r="B64" s="26"/>
      <c r="C64" s="26"/>
      <c r="D64" s="26"/>
      <c r="E64" s="2">
        <v>-1</v>
      </c>
    </row>
    <row r="65" spans="2:5" ht="51.75">
      <c r="B65" s="1" t="s">
        <v>0</v>
      </c>
      <c r="C65" s="1" t="s">
        <v>48</v>
      </c>
      <c r="D65" s="3"/>
      <c r="E65" s="47" t="s">
        <v>25</v>
      </c>
    </row>
    <row r="66" spans="2:5" ht="12.75">
      <c r="B66" s="18">
        <v>1</v>
      </c>
      <c r="C66" s="48" t="s">
        <v>49</v>
      </c>
      <c r="D66" s="49"/>
      <c r="E66" s="50">
        <f>N51</f>
        <v>11944.83429289404</v>
      </c>
    </row>
    <row r="67" spans="2:7" ht="38.25">
      <c r="B67" s="18">
        <v>2</v>
      </c>
      <c r="C67" s="63" t="s">
        <v>162</v>
      </c>
      <c r="D67" s="52"/>
      <c r="E67" s="38">
        <f>D51-N51-E68</f>
        <v>160471.6626225231</v>
      </c>
      <c r="G67" s="53"/>
    </row>
    <row r="68" spans="2:7" ht="13.5" thickBot="1">
      <c r="B68" s="18">
        <v>3</v>
      </c>
      <c r="C68" s="51" t="s">
        <v>156</v>
      </c>
      <c r="D68" s="52"/>
      <c r="E68" s="38">
        <f>F98</f>
        <v>15000</v>
      </c>
      <c r="G68" s="53"/>
    </row>
    <row r="69" spans="2:5" ht="6.75" customHeight="1" thickTop="1">
      <c r="B69" s="44"/>
      <c r="C69" s="54"/>
      <c r="D69" s="55"/>
      <c r="E69" s="44"/>
    </row>
    <row r="70" spans="2:5" ht="12.75">
      <c r="B70" s="18">
        <v>4</v>
      </c>
      <c r="C70" s="48" t="s">
        <v>1</v>
      </c>
      <c r="D70" s="49"/>
      <c r="E70" s="50">
        <f>SUM(E66:E69)</f>
        <v>187416.49691541714</v>
      </c>
    </row>
    <row r="73" spans="2:5" ht="15.75">
      <c r="B73" s="108" t="s">
        <v>51</v>
      </c>
      <c r="C73" s="108"/>
      <c r="D73" s="108"/>
      <c r="E73" s="108"/>
    </row>
    <row r="74" spans="2:5" ht="15.75">
      <c r="B74" s="108" t="s">
        <v>18</v>
      </c>
      <c r="C74" s="108"/>
      <c r="D74" s="108"/>
      <c r="E74" s="108"/>
    </row>
    <row r="76" spans="2:5" ht="17.25">
      <c r="B76" s="1"/>
      <c r="C76" s="1"/>
      <c r="D76" s="2">
        <v>-1</v>
      </c>
      <c r="E76" s="2">
        <v>-2</v>
      </c>
    </row>
    <row r="77" spans="2:5" ht="17.25">
      <c r="B77" s="1" t="s">
        <v>0</v>
      </c>
      <c r="C77" s="1" t="s">
        <v>52</v>
      </c>
      <c r="D77" s="3"/>
      <c r="E77" s="47"/>
    </row>
    <row r="78" spans="2:5" ht="15">
      <c r="B78" s="24"/>
      <c r="C78" s="24"/>
      <c r="D78" s="56" t="s">
        <v>53</v>
      </c>
      <c r="E78" s="56" t="s">
        <v>54</v>
      </c>
    </row>
    <row r="79" spans="2:5" ht="12.75">
      <c r="B79" s="8">
        <v>1</v>
      </c>
      <c r="C79" s="7" t="s">
        <v>55</v>
      </c>
      <c r="D79" s="57">
        <v>0.2</v>
      </c>
      <c r="E79" s="57">
        <v>0.8</v>
      </c>
    </row>
    <row r="80" spans="2:5" ht="12.75">
      <c r="B80" s="8">
        <v>2</v>
      </c>
      <c r="C80" s="7" t="s">
        <v>56</v>
      </c>
      <c r="D80" s="58">
        <v>500</v>
      </c>
      <c r="E80" s="58">
        <v>500</v>
      </c>
    </row>
    <row r="81" spans="2:5" ht="12.75">
      <c r="B81" s="8">
        <v>3</v>
      </c>
      <c r="C81" s="7" t="s">
        <v>57</v>
      </c>
      <c r="D81" s="59">
        <v>2110</v>
      </c>
      <c r="E81" s="59">
        <v>1200</v>
      </c>
    </row>
    <row r="82" spans="2:5" ht="12.75">
      <c r="B82" s="8">
        <v>4</v>
      </c>
      <c r="C82" s="7" t="s">
        <v>58</v>
      </c>
      <c r="D82" s="58">
        <v>12</v>
      </c>
      <c r="E82" s="60"/>
    </row>
    <row r="83" spans="2:5" ht="12.75">
      <c r="B83" s="8">
        <v>5</v>
      </c>
      <c r="C83" s="7" t="s">
        <v>59</v>
      </c>
      <c r="D83" s="58">
        <v>1000</v>
      </c>
      <c r="E83" s="60"/>
    </row>
    <row r="87" spans="2:6" ht="18">
      <c r="B87" s="13" t="s">
        <v>60</v>
      </c>
      <c r="C87" s="13"/>
      <c r="D87" s="13"/>
      <c r="E87" s="13"/>
      <c r="F87" s="13"/>
    </row>
    <row r="88" spans="2:6" ht="18">
      <c r="B88" s="13" t="s">
        <v>61</v>
      </c>
      <c r="C88" s="13"/>
      <c r="D88" s="13"/>
      <c r="E88" s="13"/>
      <c r="F88" s="13"/>
    </row>
    <row r="89" spans="2:6" ht="18">
      <c r="B89" s="13" t="s">
        <v>18</v>
      </c>
      <c r="C89" s="13"/>
      <c r="D89" s="13"/>
      <c r="E89" s="13"/>
      <c r="F89" s="13"/>
    </row>
    <row r="91" spans="2:6" ht="17.25">
      <c r="B91" s="1"/>
      <c r="C91" s="1"/>
      <c r="D91" s="2">
        <v>-1</v>
      </c>
      <c r="E91" s="2">
        <v>-2</v>
      </c>
      <c r="F91" s="2">
        <v>-3</v>
      </c>
    </row>
    <row r="92" spans="2:6" ht="17.25">
      <c r="B92" s="1"/>
      <c r="C92" s="1"/>
      <c r="D92" s="3" t="s">
        <v>7</v>
      </c>
      <c r="E92" s="3"/>
      <c r="F92" s="3"/>
    </row>
    <row r="93" spans="2:6" ht="34.5">
      <c r="B93" s="3" t="s">
        <v>62</v>
      </c>
      <c r="C93" s="1" t="s">
        <v>63</v>
      </c>
      <c r="D93" s="3" t="s">
        <v>64</v>
      </c>
      <c r="E93" s="47" t="s">
        <v>65</v>
      </c>
      <c r="F93" s="47" t="s">
        <v>1</v>
      </c>
    </row>
    <row r="94" spans="2:6" ht="12.75">
      <c r="B94" s="18">
        <v>1</v>
      </c>
      <c r="C94" s="48" t="s">
        <v>66</v>
      </c>
      <c r="D94" s="50">
        <f>ROUND(F94*D79,0)</f>
        <v>344</v>
      </c>
      <c r="E94" s="50">
        <f>F94-D94</f>
        <v>1378</v>
      </c>
      <c r="F94" s="61">
        <v>1722</v>
      </c>
    </row>
    <row r="96" spans="2:6" ht="17.25">
      <c r="B96" s="1"/>
      <c r="C96" s="1"/>
      <c r="D96" s="3" t="s">
        <v>7</v>
      </c>
      <c r="E96" s="3"/>
      <c r="F96" s="3"/>
    </row>
    <row r="97" spans="2:6" ht="34.5">
      <c r="B97" s="3" t="s">
        <v>62</v>
      </c>
      <c r="C97" s="1" t="s">
        <v>63</v>
      </c>
      <c r="D97" s="3" t="s">
        <v>64</v>
      </c>
      <c r="E97" s="47" t="s">
        <v>65</v>
      </c>
      <c r="F97" s="47" t="s">
        <v>1</v>
      </c>
    </row>
    <row r="98" spans="2:7" ht="12.75">
      <c r="B98" s="70"/>
      <c r="C98" s="70" t="s">
        <v>159</v>
      </c>
      <c r="D98" s="117">
        <f>D79*$F98</f>
        <v>3000</v>
      </c>
      <c r="E98" s="117">
        <f>E79*$F98</f>
        <v>12000</v>
      </c>
      <c r="F98" s="61">
        <f>0.6*25000</f>
        <v>15000</v>
      </c>
      <c r="G98" s="128" t="s">
        <v>182</v>
      </c>
    </row>
    <row r="99" spans="2:6" ht="12.75">
      <c r="B99" s="70"/>
      <c r="C99" s="70"/>
      <c r="D99" s="70"/>
      <c r="E99" s="70"/>
      <c r="F99" s="70"/>
    </row>
    <row r="100" spans="2:6" ht="12.75">
      <c r="B100" s="70" t="s">
        <v>157</v>
      </c>
      <c r="C100" s="70" t="s">
        <v>158</v>
      </c>
      <c r="D100" s="70"/>
      <c r="E100" s="70"/>
      <c r="F100" s="70"/>
    </row>
    <row r="102" spans="2:6" ht="18">
      <c r="B102" s="13" t="s">
        <v>67</v>
      </c>
      <c r="C102" s="13"/>
      <c r="D102" s="13"/>
      <c r="E102" s="13"/>
      <c r="F102" s="13"/>
    </row>
    <row r="103" spans="2:6" ht="18">
      <c r="B103" s="13" t="s">
        <v>68</v>
      </c>
      <c r="C103" s="13"/>
      <c r="D103" s="13"/>
      <c r="E103" s="13"/>
      <c r="F103" s="13"/>
    </row>
    <row r="104" spans="2:6" ht="18">
      <c r="B104" s="13" t="s">
        <v>69</v>
      </c>
      <c r="C104" s="13"/>
      <c r="D104" s="13"/>
      <c r="E104" s="13"/>
      <c r="F104" s="13"/>
    </row>
    <row r="105" spans="2:6" ht="18">
      <c r="B105" s="13"/>
      <c r="C105" s="13"/>
      <c r="D105" s="13"/>
      <c r="E105" s="13"/>
      <c r="F105" s="13"/>
    </row>
    <row r="107" spans="2:6" ht="17.25">
      <c r="B107" s="1"/>
      <c r="C107" s="1"/>
      <c r="D107" s="2">
        <v>-1</v>
      </c>
      <c r="E107" s="2">
        <v>-2</v>
      </c>
      <c r="F107" s="2">
        <v>-3</v>
      </c>
    </row>
    <row r="108" spans="2:12" ht="17.25">
      <c r="B108" s="1"/>
      <c r="C108" s="62" t="s">
        <v>70</v>
      </c>
      <c r="D108" s="3" t="s">
        <v>7</v>
      </c>
      <c r="E108" s="3"/>
      <c r="F108" s="3"/>
      <c r="I108" t="s">
        <v>7</v>
      </c>
      <c r="K108" t="s">
        <v>53</v>
      </c>
      <c r="L108" t="s">
        <v>54</v>
      </c>
    </row>
    <row r="109" spans="2:12" ht="17.25">
      <c r="B109" s="1" t="s">
        <v>0</v>
      </c>
      <c r="C109" s="1" t="s">
        <v>63</v>
      </c>
      <c r="D109" s="3" t="s">
        <v>64</v>
      </c>
      <c r="E109" s="47" t="s">
        <v>65</v>
      </c>
      <c r="F109" s="47" t="s">
        <v>1</v>
      </c>
      <c r="I109" t="s">
        <v>149</v>
      </c>
      <c r="K109" s="116">
        <v>352820.378</v>
      </c>
      <c r="L109" s="116">
        <v>108341.11875436635</v>
      </c>
    </row>
    <row r="110" spans="2:6" ht="12.75">
      <c r="B110" s="4"/>
      <c r="C110" s="5"/>
      <c r="D110" s="6">
        <v>0.2</v>
      </c>
      <c r="E110" s="6">
        <v>0.8</v>
      </c>
      <c r="F110" s="30"/>
    </row>
    <row r="111" spans="2:6" ht="38.25">
      <c r="B111" s="18">
        <v>1</v>
      </c>
      <c r="C111" s="48" t="s">
        <v>160</v>
      </c>
      <c r="D111" s="50">
        <f>ROUND($F111*D110,3)</f>
        <v>32094.333</v>
      </c>
      <c r="E111" s="50">
        <f>ROUND($F111*E110,3)</f>
        <v>128377.33</v>
      </c>
      <c r="F111" s="50">
        <f>E67</f>
        <v>160471.6626225231</v>
      </c>
    </row>
    <row r="112" spans="2:7" ht="25.5">
      <c r="B112" s="18" t="s">
        <v>150</v>
      </c>
      <c r="C112" s="63" t="s">
        <v>72</v>
      </c>
      <c r="D112" s="115">
        <f>E30*2</f>
        <v>4147313.627999999</v>
      </c>
      <c r="E112" s="115">
        <f>E23*2</f>
        <v>2351676.072</v>
      </c>
      <c r="F112" s="64"/>
      <c r="G112" t="s">
        <v>154</v>
      </c>
    </row>
    <row r="113" spans="2:6" ht="12.75">
      <c r="B113" s="18" t="s">
        <v>151</v>
      </c>
      <c r="C113" s="63" t="s">
        <v>152</v>
      </c>
      <c r="D113" s="115">
        <v>0</v>
      </c>
      <c r="E113" s="115">
        <v>0</v>
      </c>
      <c r="F113" s="64"/>
    </row>
    <row r="114" spans="2:7" ht="25.5">
      <c r="B114" s="18">
        <v>2</v>
      </c>
      <c r="C114" s="63" t="s">
        <v>153</v>
      </c>
      <c r="D114" s="115">
        <f>D112+D113</f>
        <v>4147313.627999999</v>
      </c>
      <c r="E114" s="115">
        <f>E112+E113</f>
        <v>2351676.072</v>
      </c>
      <c r="F114" s="64"/>
      <c r="G114" t="s">
        <v>155</v>
      </c>
    </row>
    <row r="115" spans="2:6" ht="25.5">
      <c r="B115" s="18">
        <v>3</v>
      </c>
      <c r="C115" s="48" t="s">
        <v>73</v>
      </c>
      <c r="D115" s="65">
        <f>ROUND(D111*$D$83/D114,3)</f>
        <v>7.739</v>
      </c>
      <c r="E115" s="65">
        <f>ROUND(E111*$D$83/E114,3)</f>
        <v>54.59</v>
      </c>
      <c r="F115" s="66"/>
    </row>
    <row r="116" spans="2:6" ht="25.5">
      <c r="B116" s="18">
        <v>4</v>
      </c>
      <c r="C116" s="63" t="s">
        <v>74</v>
      </c>
      <c r="D116" s="65">
        <f>ROUND(D115/D82,4)</f>
        <v>0.6449</v>
      </c>
      <c r="E116" s="65">
        <f>ROUND(E115/D82,4)</f>
        <v>4.5492</v>
      </c>
      <c r="F116" s="64"/>
    </row>
    <row r="119" spans="2:6" ht="18">
      <c r="B119" s="13" t="s">
        <v>175</v>
      </c>
      <c r="C119" s="13"/>
      <c r="D119" s="13"/>
      <c r="E119" s="13"/>
      <c r="F119" s="13"/>
    </row>
    <row r="120" spans="2:6" ht="18">
      <c r="B120" s="13" t="s">
        <v>172</v>
      </c>
      <c r="C120" s="13"/>
      <c r="D120" s="13"/>
      <c r="E120" s="13"/>
      <c r="F120" s="13"/>
    </row>
    <row r="121" spans="2:6" ht="18">
      <c r="B121" s="13" t="s">
        <v>18</v>
      </c>
      <c r="C121" s="13"/>
      <c r="D121" s="13"/>
      <c r="E121" s="13"/>
      <c r="F121" s="13"/>
    </row>
    <row r="123" spans="2:6" ht="15.75">
      <c r="B123" s="1"/>
      <c r="C123" s="1"/>
      <c r="D123" s="2">
        <v>-1</v>
      </c>
      <c r="E123" s="2">
        <v>-2</v>
      </c>
      <c r="F123" s="2">
        <v>-3</v>
      </c>
    </row>
    <row r="124" spans="2:6" ht="15.75">
      <c r="B124" s="1"/>
      <c r="C124" s="1"/>
      <c r="D124" s="3" t="s">
        <v>7</v>
      </c>
      <c r="E124" s="3"/>
      <c r="F124" s="3"/>
    </row>
    <row r="125" spans="2:6" ht="15.75">
      <c r="B125" s="1" t="s">
        <v>0</v>
      </c>
      <c r="C125" s="1" t="s">
        <v>63</v>
      </c>
      <c r="D125" s="3" t="s">
        <v>64</v>
      </c>
      <c r="E125" s="47" t="s">
        <v>65</v>
      </c>
      <c r="F125" s="47" t="s">
        <v>1</v>
      </c>
    </row>
    <row r="126" spans="2:6" ht="12.75">
      <c r="B126" s="4"/>
      <c r="C126" s="5" t="s">
        <v>75</v>
      </c>
      <c r="D126" s="30"/>
      <c r="E126" s="30"/>
      <c r="F126" s="30"/>
    </row>
    <row r="127" spans="2:6" ht="12.75">
      <c r="B127" s="18">
        <v>1</v>
      </c>
      <c r="C127" s="48" t="s">
        <v>76</v>
      </c>
      <c r="D127" s="38">
        <f>ROUND(D$116*($E26/D$80)*$D$82,0)</f>
        <v>15110</v>
      </c>
      <c r="E127" s="38">
        <f>ROUND(E$116*($E19/E$80)*$D$82,0)</f>
        <v>60618</v>
      </c>
      <c r="F127" s="50">
        <f>SUM(D127:E127)</f>
        <v>75728</v>
      </c>
    </row>
    <row r="128" spans="2:6" ht="12.75">
      <c r="B128" s="4"/>
      <c r="C128" s="5" t="s">
        <v>77</v>
      </c>
      <c r="D128" s="30"/>
      <c r="E128" s="30"/>
      <c r="F128" s="30"/>
    </row>
    <row r="129" spans="2:6" ht="12.75">
      <c r="B129" s="18">
        <v>2</v>
      </c>
      <c r="C129" s="63" t="s">
        <v>78</v>
      </c>
      <c r="D129" s="38">
        <f>D111-D127</f>
        <v>16984.333</v>
      </c>
      <c r="E129" s="38">
        <f>E111-E127</f>
        <v>67759.33</v>
      </c>
      <c r="F129" s="38">
        <f>SUM(D129:E129)</f>
        <v>84743.663</v>
      </c>
    </row>
    <row r="130" spans="2:6" ht="12.75">
      <c r="B130" s="18">
        <v>3</v>
      </c>
      <c r="C130" s="48" t="s">
        <v>161</v>
      </c>
      <c r="D130" s="38">
        <f>D98</f>
        <v>3000</v>
      </c>
      <c r="E130" s="38">
        <f>E98</f>
        <v>12000</v>
      </c>
      <c r="F130" s="38">
        <f>SUM(D130:E130)</f>
        <v>15000</v>
      </c>
    </row>
    <row r="131" spans="2:6" ht="12.75">
      <c r="B131" s="18">
        <v>4</v>
      </c>
      <c r="C131" s="48" t="s">
        <v>79</v>
      </c>
      <c r="D131" s="38">
        <f>D94</f>
        <v>344</v>
      </c>
      <c r="E131" s="38">
        <f>E94</f>
        <v>1378</v>
      </c>
      <c r="F131" s="38">
        <f>SUM(D131:E131)</f>
        <v>1722</v>
      </c>
    </row>
    <row r="132" spans="2:6" ht="12.75">
      <c r="B132" s="18">
        <v>5</v>
      </c>
      <c r="C132" s="48" t="s">
        <v>80</v>
      </c>
      <c r="D132" s="38">
        <f>SUM(D129:D131)</f>
        <v>20328.333</v>
      </c>
      <c r="E132" s="38">
        <f>SUM(E129:E131)</f>
        <v>81137.33</v>
      </c>
      <c r="F132" s="38">
        <f>SUM(D132:E132)</f>
        <v>101465.663</v>
      </c>
    </row>
    <row r="133" spans="2:6" ht="3.75" customHeight="1">
      <c r="B133" s="67"/>
      <c r="C133" s="67"/>
      <c r="D133" s="67"/>
      <c r="E133" s="67"/>
      <c r="F133" s="67"/>
    </row>
    <row r="134" spans="2:6" ht="12.75">
      <c r="B134" s="18">
        <v>5</v>
      </c>
      <c r="C134" s="48" t="s">
        <v>81</v>
      </c>
      <c r="D134" s="50">
        <f>SUM(D127,D132)</f>
        <v>35438.333</v>
      </c>
      <c r="E134" s="50">
        <f>SUM(E127,E132)</f>
        <v>141755.33000000002</v>
      </c>
      <c r="F134" s="38">
        <f>SUM(D134:E134)</f>
        <v>177193.663</v>
      </c>
    </row>
    <row r="135" spans="2:6" ht="12">
      <c r="B135" s="9"/>
      <c r="C135" s="9"/>
      <c r="D135" s="9"/>
      <c r="E135" s="9"/>
      <c r="F135" s="9"/>
    </row>
    <row r="136" spans="2:6" ht="14.25">
      <c r="B136" s="68"/>
      <c r="D136" s="69"/>
      <c r="E136" s="69"/>
      <c r="F136" s="69"/>
    </row>
    <row r="137" spans="2:6" ht="14.25">
      <c r="B137" s="68"/>
      <c r="D137" s="69"/>
      <c r="E137" s="69"/>
      <c r="F137" s="69"/>
    </row>
    <row r="138" spans="2:6" ht="12.75">
      <c r="B138" s="70" t="s">
        <v>82</v>
      </c>
      <c r="C138" s="70"/>
      <c r="D138" s="70"/>
      <c r="E138" s="70"/>
      <c r="F138" s="70"/>
    </row>
    <row r="139" spans="2:6" ht="12.75">
      <c r="B139" s="70" t="s">
        <v>163</v>
      </c>
      <c r="C139" s="70"/>
      <c r="D139" s="70"/>
      <c r="E139" s="70"/>
      <c r="F139" s="70"/>
    </row>
    <row r="140" spans="2:6" ht="12.75">
      <c r="B140" s="70" t="s">
        <v>84</v>
      </c>
      <c r="C140" s="70"/>
      <c r="D140" s="70"/>
      <c r="E140" s="70"/>
      <c r="F140" s="70"/>
    </row>
    <row r="143" spans="2:6" ht="18">
      <c r="B143" s="13" t="s">
        <v>85</v>
      </c>
      <c r="C143" s="13"/>
      <c r="D143" s="13"/>
      <c r="E143" s="13"/>
      <c r="F143" s="13"/>
    </row>
    <row r="144" spans="2:6" ht="18">
      <c r="B144" s="13" t="s">
        <v>86</v>
      </c>
      <c r="C144" s="13"/>
      <c r="D144" s="13"/>
      <c r="E144" s="13"/>
      <c r="F144" s="13"/>
    </row>
    <row r="146" spans="2:6" ht="15.75">
      <c r="B146" s="1"/>
      <c r="C146" s="1"/>
      <c r="D146" s="2">
        <v>-1</v>
      </c>
      <c r="E146" s="2">
        <v>-2</v>
      </c>
      <c r="F146" s="2">
        <v>-3</v>
      </c>
    </row>
    <row r="147" spans="2:6" ht="15.75">
      <c r="B147" s="1"/>
      <c r="C147" s="1"/>
      <c r="D147" s="3" t="s">
        <v>7</v>
      </c>
      <c r="E147" s="3"/>
      <c r="F147" s="3"/>
    </row>
    <row r="148" spans="2:6" ht="15.75">
      <c r="B148" s="1" t="s">
        <v>0</v>
      </c>
      <c r="C148" s="1" t="s">
        <v>63</v>
      </c>
      <c r="D148" s="3" t="s">
        <v>64</v>
      </c>
      <c r="E148" s="47" t="s">
        <v>65</v>
      </c>
      <c r="F148" s="47" t="s">
        <v>1</v>
      </c>
    </row>
    <row r="149" spans="2:10" ht="12.75">
      <c r="B149" s="18">
        <v>1</v>
      </c>
      <c r="C149" s="48" t="s">
        <v>87</v>
      </c>
      <c r="D149" s="66">
        <f>ROUND($D81/$D80*D116,2)</f>
        <v>2.72</v>
      </c>
      <c r="E149" s="66">
        <f>ROUND($E81/$E80*E116,2)</f>
        <v>10.92</v>
      </c>
      <c r="F149" s="66">
        <f>SUM(D149:E149)</f>
        <v>13.64</v>
      </c>
      <c r="H149" s="71">
        <v>3.172719819716386</v>
      </c>
      <c r="I149" s="71"/>
      <c r="J149" s="71"/>
    </row>
    <row r="150" spans="2:6" ht="25.5">
      <c r="B150" s="18">
        <v>2</v>
      </c>
      <c r="C150" s="63" t="s">
        <v>88</v>
      </c>
      <c r="D150" s="65">
        <f>ROUND(D132/$D$82/(SUM(E$27:E$28)/D$80),3)</f>
        <v>0.772</v>
      </c>
      <c r="E150" s="65">
        <f>ROUND(E132/$D$82/(SUM(E$20:E$21)/E$80),3)</f>
        <v>5.447</v>
      </c>
      <c r="F150" s="64"/>
    </row>
    <row r="151" spans="2:6" ht="25.5">
      <c r="B151" s="18">
        <v>3</v>
      </c>
      <c r="C151" s="48" t="s">
        <v>89</v>
      </c>
      <c r="D151" s="65">
        <f>D150-D116</f>
        <v>0.1271</v>
      </c>
      <c r="E151" s="65">
        <f>E150-E116</f>
        <v>0.8978000000000002</v>
      </c>
      <c r="F151" s="66"/>
    </row>
    <row r="153" ht="12.75">
      <c r="B153" s="70" t="s">
        <v>90</v>
      </c>
    </row>
    <row r="156" spans="2:6" ht="18">
      <c r="B156" s="13" t="s">
        <v>91</v>
      </c>
      <c r="C156" s="13"/>
      <c r="D156" s="13"/>
      <c r="E156" s="13"/>
      <c r="F156" s="13"/>
    </row>
    <row r="157" spans="2:6" ht="18">
      <c r="B157" s="13"/>
      <c r="C157" s="13"/>
      <c r="D157" s="13"/>
      <c r="E157" s="13"/>
      <c r="F157" s="13"/>
    </row>
    <row r="158" spans="2:6" ht="15">
      <c r="B158" s="72"/>
      <c r="C158" s="72"/>
      <c r="D158" s="72"/>
      <c r="E158" s="72"/>
      <c r="F158" s="72"/>
    </row>
    <row r="159" spans="2:6" ht="15.75">
      <c r="B159" s="1"/>
      <c r="C159" s="1"/>
      <c r="D159" s="2"/>
      <c r="E159" s="2"/>
      <c r="F159" s="2">
        <v>-1</v>
      </c>
    </row>
    <row r="160" spans="2:6" ht="15.75">
      <c r="B160" s="1" t="s">
        <v>0</v>
      </c>
      <c r="C160" s="1" t="s">
        <v>92</v>
      </c>
      <c r="D160" s="1"/>
      <c r="E160" s="1" t="s">
        <v>93</v>
      </c>
      <c r="F160" s="47" t="s">
        <v>7</v>
      </c>
    </row>
    <row r="161" spans="2:6" ht="12.75">
      <c r="B161" s="18">
        <v>1</v>
      </c>
      <c r="C161" s="73" t="s">
        <v>94</v>
      </c>
      <c r="D161" s="74"/>
      <c r="E161" s="75" t="s">
        <v>95</v>
      </c>
      <c r="F161" s="42">
        <v>11944834.29289404</v>
      </c>
    </row>
    <row r="162" spans="2:6" ht="12.75">
      <c r="B162" s="18">
        <v>2</v>
      </c>
      <c r="C162" s="76" t="s">
        <v>96</v>
      </c>
      <c r="D162" s="77"/>
      <c r="E162" s="78" t="s">
        <v>97</v>
      </c>
      <c r="F162" s="19">
        <v>464563.54464285716</v>
      </c>
    </row>
    <row r="163" spans="2:6" ht="12.75">
      <c r="B163" s="18">
        <v>3</v>
      </c>
      <c r="C163" s="79" t="s">
        <v>98</v>
      </c>
      <c r="D163" s="80"/>
      <c r="E163" s="81"/>
      <c r="F163" s="82">
        <v>1.3</v>
      </c>
    </row>
    <row r="164" spans="2:6" ht="12.75">
      <c r="B164" s="18">
        <v>4</v>
      </c>
      <c r="C164" s="83" t="s">
        <v>99</v>
      </c>
      <c r="D164" s="83"/>
      <c r="E164" s="78" t="s">
        <v>97</v>
      </c>
      <c r="F164" s="19">
        <v>111131.09196428573</v>
      </c>
    </row>
    <row r="165" spans="2:6" ht="12.75">
      <c r="B165" s="18">
        <v>5</v>
      </c>
      <c r="C165" s="79" t="s">
        <v>100</v>
      </c>
      <c r="D165" s="80"/>
      <c r="E165" s="78" t="s">
        <v>97</v>
      </c>
      <c r="F165" s="23">
        <f>F162+F164</f>
        <v>575694.6366071429</v>
      </c>
    </row>
    <row r="166" spans="2:6" ht="12.75">
      <c r="B166" s="18">
        <v>6</v>
      </c>
      <c r="C166" s="83" t="s">
        <v>101</v>
      </c>
      <c r="D166" s="83"/>
      <c r="E166" s="78" t="s">
        <v>97</v>
      </c>
      <c r="F166" s="23">
        <f>F162*D82</f>
        <v>5574762.535714285</v>
      </c>
    </row>
    <row r="167" spans="2:6" ht="12.75">
      <c r="B167" s="18">
        <v>7</v>
      </c>
      <c r="C167" s="79" t="s">
        <v>102</v>
      </c>
      <c r="D167" s="80"/>
      <c r="E167" s="78" t="s">
        <v>97</v>
      </c>
      <c r="F167" s="23">
        <f>F164*D$82</f>
        <v>1333573.103571429</v>
      </c>
    </row>
    <row r="168" spans="2:6" ht="12.75">
      <c r="B168" s="18">
        <v>8</v>
      </c>
      <c r="C168" s="83" t="s">
        <v>103</v>
      </c>
      <c r="D168" s="83"/>
      <c r="E168" s="78" t="s">
        <v>97</v>
      </c>
      <c r="F168" s="23">
        <f>SUM(F166:F167)</f>
        <v>6908335.639285714</v>
      </c>
    </row>
    <row r="169" spans="2:6" ht="12.75">
      <c r="B169" s="18">
        <v>9</v>
      </c>
      <c r="C169" s="79" t="s">
        <v>104</v>
      </c>
      <c r="D169" s="80"/>
      <c r="E169" s="78" t="s">
        <v>105</v>
      </c>
      <c r="F169" s="84">
        <f>ROUND(F161/F168,2)</f>
        <v>1.73</v>
      </c>
    </row>
    <row r="170" spans="2:6" ht="12.75">
      <c r="B170" s="18">
        <v>10</v>
      </c>
      <c r="C170" s="83" t="s">
        <v>106</v>
      </c>
      <c r="D170" s="85"/>
      <c r="E170" s="78" t="s">
        <v>105</v>
      </c>
      <c r="F170" s="84">
        <f>F169*F163</f>
        <v>2.249</v>
      </c>
    </row>
    <row r="171" spans="2:6" ht="12.75">
      <c r="B171" s="86"/>
      <c r="C171" s="87"/>
      <c r="D171" s="88"/>
      <c r="E171" s="88"/>
      <c r="F171" s="89"/>
    </row>
    <row r="172" spans="2:5" ht="12.75">
      <c r="B172" s="70" t="s">
        <v>107</v>
      </c>
      <c r="D172" s="90"/>
      <c r="E172" s="90"/>
    </row>
    <row r="173" spans="2:5" ht="12.75">
      <c r="B173" s="70" t="s">
        <v>108</v>
      </c>
      <c r="D173" s="90"/>
      <c r="E173" s="90"/>
    </row>
    <row r="175" spans="3:11" ht="12">
      <c r="C175" s="22"/>
      <c r="D175" s="22"/>
      <c r="E175" s="22"/>
      <c r="F175" s="22"/>
      <c r="G175" s="22"/>
      <c r="H175" s="22"/>
      <c r="I175" s="22"/>
      <c r="J175" s="22"/>
      <c r="K175" s="22"/>
    </row>
    <row r="176" spans="2:12" ht="18">
      <c r="B176" s="13" t="s">
        <v>109</v>
      </c>
      <c r="C176" s="13"/>
      <c r="D176" s="13"/>
      <c r="E176" s="13"/>
      <c r="F176" s="13"/>
      <c r="G176" s="13"/>
      <c r="H176" s="13"/>
      <c r="I176" s="13"/>
      <c r="J176" s="13"/>
      <c r="L176" s="129" t="s">
        <v>183</v>
      </c>
    </row>
    <row r="177" spans="2:12" ht="18">
      <c r="B177" s="13" t="s">
        <v>18</v>
      </c>
      <c r="C177" s="13"/>
      <c r="D177" s="13"/>
      <c r="E177" s="13"/>
      <c r="F177" s="13"/>
      <c r="G177" s="13"/>
      <c r="H177" s="13"/>
      <c r="I177" s="13"/>
      <c r="J177" s="13"/>
      <c r="L177" s="129" t="s">
        <v>184</v>
      </c>
    </row>
    <row r="178" spans="2:10" ht="18">
      <c r="B178" s="13" t="s">
        <v>19</v>
      </c>
      <c r="C178" s="13"/>
      <c r="D178" s="13"/>
      <c r="E178" s="13"/>
      <c r="F178" s="13"/>
      <c r="G178" s="13"/>
      <c r="H178" s="13"/>
      <c r="I178" s="13"/>
      <c r="J178" s="13"/>
    </row>
    <row r="179" spans="2:10" ht="15">
      <c r="B179" s="72"/>
      <c r="C179" s="72"/>
      <c r="D179" s="72"/>
      <c r="E179" s="72"/>
      <c r="F179" s="72"/>
      <c r="G179" s="72"/>
      <c r="H179" s="72"/>
      <c r="I179" s="72"/>
      <c r="J179" s="72"/>
    </row>
    <row r="180" spans="2:10" ht="15">
      <c r="B180" s="91"/>
      <c r="C180" s="91"/>
      <c r="D180" s="2">
        <v>-1</v>
      </c>
      <c r="E180" s="2">
        <v>-2</v>
      </c>
      <c r="F180" s="2">
        <v>-3</v>
      </c>
      <c r="G180" s="2">
        <v>-4</v>
      </c>
      <c r="H180" s="2">
        <v>-5</v>
      </c>
      <c r="I180" s="2">
        <v>-6</v>
      </c>
      <c r="J180" s="2">
        <v>-7</v>
      </c>
    </row>
    <row r="181" spans="2:10" ht="15.75">
      <c r="B181" s="26"/>
      <c r="C181" s="26"/>
      <c r="D181" s="26"/>
      <c r="E181" s="27"/>
      <c r="F181" s="27"/>
      <c r="G181" s="3" t="s">
        <v>110</v>
      </c>
      <c r="H181" s="92"/>
      <c r="I181" s="92"/>
      <c r="J181" s="26"/>
    </row>
    <row r="182" spans="2:12" ht="48">
      <c r="B182" s="1" t="s">
        <v>0</v>
      </c>
      <c r="C182" s="1" t="s">
        <v>5</v>
      </c>
      <c r="D182" s="47" t="s">
        <v>111</v>
      </c>
      <c r="E182" s="47" t="s">
        <v>112</v>
      </c>
      <c r="F182" s="47" t="s">
        <v>113</v>
      </c>
      <c r="G182" s="3" t="s">
        <v>9</v>
      </c>
      <c r="H182" s="3" t="s">
        <v>10</v>
      </c>
      <c r="I182" s="47" t="s">
        <v>114</v>
      </c>
      <c r="J182" s="47" t="s">
        <v>115</v>
      </c>
      <c r="L182" t="s">
        <v>116</v>
      </c>
    </row>
    <row r="183" spans="2:10" ht="14.25">
      <c r="B183" s="93"/>
      <c r="C183" s="93" t="s">
        <v>9</v>
      </c>
      <c r="D183" s="93"/>
      <c r="E183" s="93"/>
      <c r="F183" s="93"/>
      <c r="G183" s="93"/>
      <c r="H183" s="93"/>
      <c r="I183" s="93"/>
      <c r="J183" s="93"/>
    </row>
    <row r="184" spans="2:12" ht="12.75">
      <c r="B184" s="18">
        <v>1</v>
      </c>
      <c r="C184" s="7" t="s">
        <v>117</v>
      </c>
      <c r="D184" s="61">
        <v>87150074.25964287</v>
      </c>
      <c r="E184" s="61">
        <v>0</v>
      </c>
      <c r="F184" s="50">
        <f>SUM(D184,E184)</f>
        <v>87150074.25964287</v>
      </c>
      <c r="G184" s="50">
        <v>0</v>
      </c>
      <c r="H184" s="50">
        <v>0</v>
      </c>
      <c r="I184" s="50">
        <f>-E$199*F184/F$199</f>
        <v>1824456.5001013367</v>
      </c>
      <c r="J184" s="50">
        <f>SUM(F184:I184)</f>
        <v>88974530.75974421</v>
      </c>
      <c r="K184" s="94"/>
      <c r="L184" s="95">
        <f>+J184/F184</f>
        <v>1.0209346522719627</v>
      </c>
    </row>
    <row r="185" spans="2:12" ht="12.75">
      <c r="B185" s="18">
        <v>2</v>
      </c>
      <c r="C185" s="7" t="s">
        <v>118</v>
      </c>
      <c r="D185" s="42">
        <v>4515752.52</v>
      </c>
      <c r="E185" s="42">
        <v>-1128938.13</v>
      </c>
      <c r="F185" s="38">
        <f>SUM(D185,E185)</f>
        <v>3386814.3899999997</v>
      </c>
      <c r="G185" s="38"/>
      <c r="H185" s="38"/>
      <c r="I185" s="38">
        <f>-E$199*F185/F$199</f>
        <v>70901.78156432892</v>
      </c>
      <c r="J185" s="38">
        <f>SUM(F185:I185)</f>
        <v>3457716.1715643285</v>
      </c>
      <c r="K185" s="94"/>
      <c r="L185" s="95">
        <f>+J185/F185</f>
        <v>1.0209346522719625</v>
      </c>
    </row>
    <row r="186" spans="2:12" ht="12.75">
      <c r="B186" s="18">
        <v>3</v>
      </c>
      <c r="C186" s="7" t="s">
        <v>119</v>
      </c>
      <c r="D186" s="42">
        <v>814867.6799999999</v>
      </c>
      <c r="E186" s="42">
        <v>-40743.384</v>
      </c>
      <c r="F186" s="38">
        <f>SUM(D186,E186)</f>
        <v>774124.296</v>
      </c>
      <c r="G186" s="38"/>
      <c r="H186" s="38"/>
      <c r="I186" s="38">
        <f>-E$199*F186/F$199</f>
        <v>16206.022952037803</v>
      </c>
      <c r="J186" s="38">
        <f>SUM(F186:I186)</f>
        <v>790330.3189520377</v>
      </c>
      <c r="K186" s="94"/>
      <c r="L186" s="95">
        <f>+J186/F186</f>
        <v>1.0209346522719625</v>
      </c>
    </row>
    <row r="187" spans="2:12" ht="12.75">
      <c r="B187" s="96"/>
      <c r="C187" s="97" t="s">
        <v>120</v>
      </c>
      <c r="D187" s="98">
        <v>0</v>
      </c>
      <c r="E187" s="98"/>
      <c r="F187" s="98">
        <v>0</v>
      </c>
      <c r="G187" s="98"/>
      <c r="H187" s="98"/>
      <c r="I187" s="98">
        <v>0</v>
      </c>
      <c r="J187" s="98">
        <v>0</v>
      </c>
      <c r="K187" s="94"/>
      <c r="L187" s="99" t="str">
        <f>IF(F187=0,"NA",+J187/F187)</f>
        <v>NA</v>
      </c>
    </row>
    <row r="188" spans="2:12" ht="14.25">
      <c r="B188" s="93"/>
      <c r="C188" s="93" t="s">
        <v>10</v>
      </c>
      <c r="D188" s="93"/>
      <c r="E188" s="93"/>
      <c r="F188" s="93"/>
      <c r="G188" s="93"/>
      <c r="H188" s="93"/>
      <c r="I188" s="93"/>
      <c r="J188" s="93"/>
      <c r="K188" s="94"/>
      <c r="L188" s="94"/>
    </row>
    <row r="189" spans="2:12" ht="12.75">
      <c r="B189" s="18">
        <v>4</v>
      </c>
      <c r="C189" s="7" t="s">
        <v>117</v>
      </c>
      <c r="D189" s="42">
        <v>81723598.7846266</v>
      </c>
      <c r="E189" s="42"/>
      <c r="F189" s="38">
        <f aca="true" t="shared" si="3" ref="F189:F197">SUM(D189,E189)</f>
        <v>81723598.7846266</v>
      </c>
      <c r="G189" s="38"/>
      <c r="H189" s="38"/>
      <c r="I189" s="38">
        <f>-E$199*F189/F$199</f>
        <v>1710855.1229695387</v>
      </c>
      <c r="J189" s="38">
        <f aca="true" t="shared" si="4" ref="J189:J197">SUM(F189:I189)</f>
        <v>83434453.90759614</v>
      </c>
      <c r="K189" s="94"/>
      <c r="L189" s="95">
        <f>+J189/F189</f>
        <v>1.0209346522719625</v>
      </c>
    </row>
    <row r="190" spans="2:12" ht="12.75">
      <c r="B190" s="18">
        <v>5</v>
      </c>
      <c r="C190" s="7" t="s">
        <v>118</v>
      </c>
      <c r="D190" s="42">
        <v>10460792.240565361</v>
      </c>
      <c r="E190" s="42">
        <v>-2615198.0601413404</v>
      </c>
      <c r="F190" s="38">
        <f t="shared" si="3"/>
        <v>7845594.180424022</v>
      </c>
      <c r="G190" s="38"/>
      <c r="H190" s="38"/>
      <c r="I190" s="38">
        <f>-E$199*F190/F$199</f>
        <v>164244.78603410983</v>
      </c>
      <c r="J190" s="38">
        <f t="shared" si="4"/>
        <v>8009838.966458132</v>
      </c>
      <c r="K190" s="94"/>
      <c r="L190" s="95">
        <f>+J190/F190</f>
        <v>1.0209346522719627</v>
      </c>
    </row>
    <row r="191" spans="2:12" ht="12.75">
      <c r="B191" s="18">
        <v>6</v>
      </c>
      <c r="C191" s="7" t="s">
        <v>119</v>
      </c>
      <c r="D191" s="42">
        <v>1392131.5695447868</v>
      </c>
      <c r="E191" s="42">
        <v>-69606.57847723934</v>
      </c>
      <c r="F191" s="38">
        <f t="shared" si="3"/>
        <v>1322524.9910675476</v>
      </c>
      <c r="G191" s="38"/>
      <c r="H191" s="38"/>
      <c r="I191" s="38">
        <f>-E$199*F191/F$199</f>
        <v>27686.600808979474</v>
      </c>
      <c r="J191" s="38">
        <f t="shared" si="4"/>
        <v>1350211.591876527</v>
      </c>
      <c r="K191" s="94"/>
      <c r="L191" s="95">
        <f>+J191/F191</f>
        <v>1.0209346522719625</v>
      </c>
    </row>
    <row r="192" spans="2:12" ht="12.75">
      <c r="B192" s="100"/>
      <c r="C192" s="101" t="s">
        <v>120</v>
      </c>
      <c r="D192" s="102">
        <v>0</v>
      </c>
      <c r="E192" s="102"/>
      <c r="F192" s="38">
        <f t="shared" si="3"/>
        <v>0</v>
      </c>
      <c r="G192" s="102"/>
      <c r="H192" s="102"/>
      <c r="I192" s="38">
        <f>-E$199*F192/F$199</f>
        <v>0</v>
      </c>
      <c r="J192" s="38">
        <f t="shared" si="4"/>
        <v>0</v>
      </c>
      <c r="K192" s="94"/>
      <c r="L192" s="99" t="str">
        <f>IF(F192=0,"NA",+J192/F192)</f>
        <v>NA</v>
      </c>
    </row>
    <row r="193" spans="2:12" ht="14.25">
      <c r="B193" s="93"/>
      <c r="C193" s="93" t="s">
        <v>121</v>
      </c>
      <c r="D193" s="93"/>
      <c r="E193" s="93"/>
      <c r="F193" s="93"/>
      <c r="G193" s="93"/>
      <c r="H193" s="93"/>
      <c r="I193" s="93"/>
      <c r="J193" s="93"/>
      <c r="K193" s="94"/>
      <c r="L193" s="94"/>
    </row>
    <row r="194" spans="2:12" ht="12.75">
      <c r="B194" s="18">
        <v>7</v>
      </c>
      <c r="C194" s="7" t="s">
        <v>117</v>
      </c>
      <c r="D194" s="42">
        <v>3016508.5569394636</v>
      </c>
      <c r="E194" s="42"/>
      <c r="F194" s="38">
        <f t="shared" si="3"/>
        <v>3016508.5569394636</v>
      </c>
      <c r="G194" s="38"/>
      <c r="H194" s="38"/>
      <c r="I194" s="38">
        <f>-E$199*F194/F$199</f>
        <v>63149.55771492719</v>
      </c>
      <c r="J194" s="38">
        <f t="shared" si="4"/>
        <v>3079658.1146543906</v>
      </c>
      <c r="K194" s="94"/>
      <c r="L194" s="95">
        <f>+J194/F194</f>
        <v>1.0209346522719625</v>
      </c>
    </row>
    <row r="195" spans="2:12" ht="12.75">
      <c r="B195" s="18">
        <v>8</v>
      </c>
      <c r="C195" s="7" t="s">
        <v>118</v>
      </c>
      <c r="D195" s="42">
        <v>98105.41326529298</v>
      </c>
      <c r="E195" s="42">
        <v>-24526.353316323246</v>
      </c>
      <c r="F195" s="38">
        <f t="shared" si="3"/>
        <v>73579.05994896973</v>
      </c>
      <c r="G195" s="38"/>
      <c r="H195" s="38"/>
      <c r="I195" s="38">
        <f>-E$199*F195/F$199</f>
        <v>1540.3520345295672</v>
      </c>
      <c r="J195" s="38">
        <f t="shared" si="4"/>
        <v>75119.4119834993</v>
      </c>
      <c r="K195" s="94"/>
      <c r="L195" s="95">
        <f>+J195/F195</f>
        <v>1.0209346522719627</v>
      </c>
    </row>
    <row r="196" spans="2:12" ht="12.75">
      <c r="B196" s="18">
        <v>9</v>
      </c>
      <c r="C196" s="7" t="s">
        <v>119</v>
      </c>
      <c r="D196" s="42">
        <v>937.1071200000001</v>
      </c>
      <c r="E196" s="42">
        <v>-46.85535600000001</v>
      </c>
      <c r="F196" s="38">
        <f t="shared" si="3"/>
        <v>890.2517640000001</v>
      </c>
      <c r="G196" s="38"/>
      <c r="H196" s="38"/>
      <c r="I196" s="38">
        <f>-E$199*F196/F$199</f>
        <v>18.637111113841264</v>
      </c>
      <c r="J196" s="38">
        <f t="shared" si="4"/>
        <v>908.8888751138413</v>
      </c>
      <c r="K196" s="94"/>
      <c r="L196" s="95">
        <f>+J196/F196</f>
        <v>1.0209346522719625</v>
      </c>
    </row>
    <row r="197" spans="2:11" ht="13.5" thickBot="1">
      <c r="B197" s="18"/>
      <c r="C197" s="7" t="s">
        <v>120</v>
      </c>
      <c r="D197" s="38">
        <v>0</v>
      </c>
      <c r="E197" s="38"/>
      <c r="F197" s="38">
        <f t="shared" si="3"/>
        <v>0</v>
      </c>
      <c r="G197" s="38"/>
      <c r="H197" s="38"/>
      <c r="I197" s="38">
        <f>-E$199*F197/F$199</f>
        <v>0</v>
      </c>
      <c r="J197" s="38">
        <f t="shared" si="4"/>
        <v>0</v>
      </c>
      <c r="K197" s="94"/>
    </row>
    <row r="198" spans="2:10" ht="15" thickTop="1">
      <c r="B198" s="44"/>
      <c r="C198" s="44"/>
      <c r="D198" s="44"/>
      <c r="E198" s="44"/>
      <c r="F198" s="44"/>
      <c r="G198" s="44"/>
      <c r="H198" s="44"/>
      <c r="I198" s="44"/>
      <c r="J198" s="44"/>
    </row>
    <row r="199" spans="1:11" ht="12.75">
      <c r="A199" s="22"/>
      <c r="B199" s="18">
        <v>10</v>
      </c>
      <c r="C199" s="7" t="s">
        <v>1</v>
      </c>
      <c r="D199" s="50">
        <f aca="true" t="shared" si="5" ref="D199:J199">SUM(D184:D198)</f>
        <v>189172768.1317044</v>
      </c>
      <c r="E199" s="50">
        <f t="shared" si="5"/>
        <v>-3879059.361290903</v>
      </c>
      <c r="F199" s="50">
        <f t="shared" si="5"/>
        <v>185293708.77041352</v>
      </c>
      <c r="G199" s="50">
        <f t="shared" si="5"/>
        <v>0</v>
      </c>
      <c r="H199" s="50">
        <f t="shared" si="5"/>
        <v>0</v>
      </c>
      <c r="I199" s="50">
        <f t="shared" si="5"/>
        <v>3879059.361290902</v>
      </c>
      <c r="J199" s="50">
        <f t="shared" si="5"/>
        <v>189172768.1317044</v>
      </c>
      <c r="K199" s="22"/>
    </row>
    <row r="201" spans="2:11" ht="12.75">
      <c r="B201" s="103" t="s">
        <v>122</v>
      </c>
      <c r="C201" s="104"/>
      <c r="D201" s="104"/>
      <c r="E201" s="104"/>
      <c r="F201" s="104"/>
      <c r="G201" s="104"/>
      <c r="H201" s="104"/>
      <c r="I201" s="104"/>
      <c r="J201" s="104"/>
      <c r="K201" s="104"/>
    </row>
    <row r="202" spans="2:11" ht="12.75">
      <c r="B202" s="70" t="s">
        <v>123</v>
      </c>
      <c r="C202" s="104"/>
      <c r="D202" s="104"/>
      <c r="E202" s="104"/>
      <c r="F202" s="104"/>
      <c r="G202" s="104"/>
      <c r="H202" s="104"/>
      <c r="I202" s="104"/>
      <c r="J202" s="104"/>
      <c r="K202" s="104"/>
    </row>
    <row r="203" spans="2:11" ht="12.75">
      <c r="B203" s="104" t="s">
        <v>124</v>
      </c>
      <c r="C203" s="104"/>
      <c r="D203" s="104"/>
      <c r="E203" s="104"/>
      <c r="F203" s="104"/>
      <c r="G203" s="104"/>
      <c r="H203" s="104"/>
      <c r="I203" s="104"/>
      <c r="J203" s="104"/>
      <c r="K203" s="104"/>
    </row>
    <row r="204" spans="3:11" ht="12">
      <c r="C204" s="22"/>
      <c r="D204" s="22"/>
      <c r="E204" s="22"/>
      <c r="F204" s="22"/>
      <c r="G204" s="22"/>
      <c r="H204" s="22"/>
      <c r="I204" s="22"/>
      <c r="J204" s="22"/>
      <c r="K204" s="22"/>
    </row>
    <row r="205" spans="3:10" ht="12">
      <c r="C205" s="22"/>
      <c r="D205" s="22"/>
      <c r="E205" s="22"/>
      <c r="F205" s="22"/>
      <c r="G205" s="22"/>
      <c r="H205" s="22"/>
      <c r="I205" s="22"/>
      <c r="J205" s="22"/>
    </row>
    <row r="206" spans="2:8" ht="18">
      <c r="B206" s="13" t="s">
        <v>125</v>
      </c>
      <c r="C206" s="13"/>
      <c r="D206" s="13"/>
      <c r="E206" s="13"/>
      <c r="F206" s="13"/>
      <c r="G206" s="13"/>
      <c r="H206" s="13"/>
    </row>
    <row r="207" spans="2:8" ht="18">
      <c r="B207" s="13" t="s">
        <v>19</v>
      </c>
      <c r="C207" s="13"/>
      <c r="D207" s="13"/>
      <c r="E207" s="13"/>
      <c r="F207" s="13"/>
      <c r="G207" s="13"/>
      <c r="H207" s="13"/>
    </row>
    <row r="208" spans="2:7" ht="15">
      <c r="B208" s="25"/>
      <c r="C208" s="25"/>
      <c r="D208" s="25"/>
      <c r="E208" s="25"/>
      <c r="F208" s="25"/>
      <c r="G208" s="25"/>
    </row>
    <row r="209" spans="2:8" ht="15">
      <c r="B209" s="91"/>
      <c r="C209" s="91"/>
      <c r="D209" s="2">
        <v>-1</v>
      </c>
      <c r="E209" s="2">
        <v>-2</v>
      </c>
      <c r="F209" s="2">
        <v>-3</v>
      </c>
      <c r="G209" s="2">
        <v>-4</v>
      </c>
      <c r="H209" s="2">
        <v>-5</v>
      </c>
    </row>
    <row r="210" spans="2:8" ht="48">
      <c r="B210" s="1" t="s">
        <v>0</v>
      </c>
      <c r="C210" s="1" t="s">
        <v>126</v>
      </c>
      <c r="D210" s="47" t="s">
        <v>127</v>
      </c>
      <c r="E210" s="47" t="s">
        <v>116</v>
      </c>
      <c r="F210" s="47" t="s">
        <v>127</v>
      </c>
      <c r="G210" s="47" t="s">
        <v>128</v>
      </c>
      <c r="H210" s="47" t="s">
        <v>129</v>
      </c>
    </row>
    <row r="211" spans="2:8" ht="12.75">
      <c r="B211" s="4"/>
      <c r="C211" s="29" t="s">
        <v>130</v>
      </c>
      <c r="D211" s="30"/>
      <c r="E211" s="30"/>
      <c r="F211" s="30"/>
      <c r="G211" s="30"/>
      <c r="H211" s="30"/>
    </row>
    <row r="212" spans="2:11" ht="12.75">
      <c r="B212" s="18">
        <v>1</v>
      </c>
      <c r="C212" s="7" t="s">
        <v>9</v>
      </c>
      <c r="D212" s="66">
        <f>+F169</f>
        <v>1.73</v>
      </c>
      <c r="E212" s="66">
        <f>+$L$184</f>
        <v>1.0209346522719627</v>
      </c>
      <c r="F212" s="66">
        <f>+D212*E212</f>
        <v>1.7662169484304955</v>
      </c>
      <c r="G212" s="65">
        <v>1.0617296</v>
      </c>
      <c r="H212" s="66">
        <f>+D212*E212*G212</f>
        <v>1.8752448141703306</v>
      </c>
      <c r="K212" s="105"/>
    </row>
    <row r="213" spans="2:11" ht="12.75">
      <c r="B213" s="18">
        <v>2</v>
      </c>
      <c r="C213" s="7" t="s">
        <v>10</v>
      </c>
      <c r="D213" s="64">
        <f>F170</f>
        <v>2.249</v>
      </c>
      <c r="E213" s="64">
        <f>+$L$184</f>
        <v>1.0209346522719627</v>
      </c>
      <c r="F213" s="64">
        <f>+D213*E213</f>
        <v>2.296082032959644</v>
      </c>
      <c r="G213" s="65">
        <v>1.0617296</v>
      </c>
      <c r="H213" s="64">
        <f>+D213*E213*G213</f>
        <v>2.4378182584214296</v>
      </c>
      <c r="K213" s="105"/>
    </row>
    <row r="214" spans="2:11" ht="12.75">
      <c r="B214" s="18">
        <v>3</v>
      </c>
      <c r="C214" s="7" t="s">
        <v>121</v>
      </c>
      <c r="D214" s="64">
        <f>+D213</f>
        <v>2.249</v>
      </c>
      <c r="E214" s="64">
        <f>+$L$184</f>
        <v>1.0209346522719627</v>
      </c>
      <c r="F214" s="64">
        <f>+D214*E214</f>
        <v>2.296082032959644</v>
      </c>
      <c r="G214" s="65">
        <v>1.0617296</v>
      </c>
      <c r="H214" s="64">
        <f>+D214*E214*G214</f>
        <v>2.4378182584214296</v>
      </c>
      <c r="K214" s="105"/>
    </row>
    <row r="215" spans="2:8" ht="12.75">
      <c r="B215" s="4"/>
      <c r="C215" s="29" t="s">
        <v>131</v>
      </c>
      <c r="D215" s="30"/>
      <c r="E215" s="30"/>
      <c r="F215" s="30"/>
      <c r="G215" s="30"/>
      <c r="H215" s="30"/>
    </row>
    <row r="216" spans="2:8" ht="12.75">
      <c r="B216" s="18">
        <v>4</v>
      </c>
      <c r="C216" s="7" t="s">
        <v>9</v>
      </c>
      <c r="D216" s="64">
        <f>+F149</f>
        <v>13.64</v>
      </c>
      <c r="E216" s="64">
        <f>+$L$184</f>
        <v>1.0209346522719627</v>
      </c>
      <c r="F216" s="64">
        <f>+D216*E216</f>
        <v>13.925548656989571</v>
      </c>
      <c r="G216" s="65">
        <f>G$212</f>
        <v>1.0617296</v>
      </c>
      <c r="H216" s="64">
        <f>+D216*E216*G216</f>
        <v>14.785167205366076</v>
      </c>
    </row>
    <row r="217" spans="2:8" ht="12.75">
      <c r="B217" s="18"/>
      <c r="C217" s="7" t="s">
        <v>10</v>
      </c>
      <c r="D217" s="106"/>
      <c r="E217" s="106"/>
      <c r="F217" s="106"/>
      <c r="G217" s="107"/>
      <c r="H217" s="106"/>
    </row>
    <row r="218" spans="2:8" ht="12.75">
      <c r="B218" s="18">
        <v>5</v>
      </c>
      <c r="C218" s="7" t="s">
        <v>132</v>
      </c>
      <c r="D218" s="64">
        <f>+E150</f>
        <v>5.447</v>
      </c>
      <c r="E218" s="64">
        <f>+$L$184</f>
        <v>1.0209346522719627</v>
      </c>
      <c r="F218" s="64">
        <f>+D218*E218</f>
        <v>5.561031050925381</v>
      </c>
      <c r="G218" s="65">
        <f>G$212</f>
        <v>1.0617296</v>
      </c>
      <c r="H218" s="64">
        <f>+D218*E218*G218</f>
        <v>5.904311273286584</v>
      </c>
    </row>
    <row r="219" spans="2:8" ht="12.75">
      <c r="B219" s="18">
        <v>6</v>
      </c>
      <c r="C219" s="7" t="s">
        <v>133</v>
      </c>
      <c r="D219" s="64">
        <f>+D150</f>
        <v>0.772</v>
      </c>
      <c r="E219" s="64">
        <f>+$L$184</f>
        <v>1.0209346522719627</v>
      </c>
      <c r="F219" s="64">
        <f>+D219*E219</f>
        <v>0.7881615515539552</v>
      </c>
      <c r="G219" s="65">
        <f>G$212</f>
        <v>1.0617296</v>
      </c>
      <c r="H219" s="64">
        <f>+D219*E219*G219</f>
        <v>0.8368144488667603</v>
      </c>
    </row>
    <row r="220" spans="2:8" ht="12.75">
      <c r="B220" s="18"/>
      <c r="C220" s="7" t="s">
        <v>121</v>
      </c>
      <c r="D220" s="106"/>
      <c r="E220" s="106"/>
      <c r="F220" s="106"/>
      <c r="G220" s="107"/>
      <c r="H220" s="106"/>
    </row>
    <row r="221" spans="2:8" ht="12.75">
      <c r="B221" s="18">
        <v>7</v>
      </c>
      <c r="C221" s="7" t="s">
        <v>132</v>
      </c>
      <c r="D221" s="64">
        <f>+D218</f>
        <v>5.447</v>
      </c>
      <c r="E221" s="64">
        <f>+$L$184</f>
        <v>1.0209346522719627</v>
      </c>
      <c r="F221" s="64">
        <f>+D221*E221</f>
        <v>5.561031050925381</v>
      </c>
      <c r="G221" s="65">
        <f>G$212</f>
        <v>1.0617296</v>
      </c>
      <c r="H221" s="64">
        <f>+D221*E221*G221</f>
        <v>5.904311273286584</v>
      </c>
    </row>
    <row r="222" spans="2:8" ht="12.75">
      <c r="B222" s="18">
        <v>8</v>
      </c>
      <c r="C222" s="7" t="s">
        <v>133</v>
      </c>
      <c r="D222" s="64">
        <f>+D219</f>
        <v>0.772</v>
      </c>
      <c r="E222" s="64">
        <f>+$L$184</f>
        <v>1.0209346522719627</v>
      </c>
      <c r="F222" s="64">
        <f>+D222*E222</f>
        <v>0.7881615515539552</v>
      </c>
      <c r="G222" s="65">
        <f>G$212</f>
        <v>1.0617296</v>
      </c>
      <c r="H222" s="64">
        <f>+D222*E222*G222</f>
        <v>0.8368144488667603</v>
      </c>
    </row>
    <row r="224" spans="2:10" ht="12.75">
      <c r="B224" s="103" t="s">
        <v>122</v>
      </c>
      <c r="C224" s="104" t="s">
        <v>134</v>
      </c>
      <c r="D224" s="104"/>
      <c r="E224" s="104"/>
      <c r="F224" s="104"/>
      <c r="G224" s="104"/>
      <c r="H224" s="104"/>
      <c r="I224" s="104"/>
      <c r="J224" s="104"/>
    </row>
    <row r="225" spans="2:10" ht="12.75">
      <c r="B225" s="103"/>
      <c r="C225" s="104"/>
      <c r="D225" s="104"/>
      <c r="E225" s="104"/>
      <c r="F225" s="104"/>
      <c r="G225" s="104"/>
      <c r="H225" s="104"/>
      <c r="I225" s="104"/>
      <c r="J225" s="104"/>
    </row>
    <row r="226" spans="2:10" ht="12.75">
      <c r="B226" s="103"/>
      <c r="C226" s="104"/>
      <c r="D226" s="104"/>
      <c r="E226" s="104"/>
      <c r="F226" s="104"/>
      <c r="G226" s="104"/>
      <c r="H226" s="104"/>
      <c r="I226" s="104"/>
      <c r="J226" s="104"/>
    </row>
    <row r="227" spans="2:10" ht="15">
      <c r="B227" s="108" t="s">
        <v>135</v>
      </c>
      <c r="C227" s="108"/>
      <c r="D227" s="108"/>
      <c r="E227" s="108"/>
      <c r="F227" s="108"/>
      <c r="G227" s="104"/>
      <c r="H227" s="104"/>
      <c r="I227" s="104"/>
      <c r="J227" s="104"/>
    </row>
    <row r="228" spans="2:10" ht="15">
      <c r="B228" s="108" t="s">
        <v>136</v>
      </c>
      <c r="C228" s="108"/>
      <c r="D228" s="108"/>
      <c r="E228" s="108"/>
      <c r="F228" s="108"/>
      <c r="G228" s="104"/>
      <c r="H228" s="104"/>
      <c r="I228" s="104"/>
      <c r="J228" s="104"/>
    </row>
    <row r="229" spans="2:10" ht="15">
      <c r="B229" s="72"/>
      <c r="C229" s="72"/>
      <c r="D229" s="72"/>
      <c r="E229" s="72"/>
      <c r="F229" s="104"/>
      <c r="G229" s="104"/>
      <c r="H229" s="104"/>
      <c r="I229" s="104"/>
      <c r="J229" s="104"/>
    </row>
    <row r="230" spans="2:10" ht="15">
      <c r="B230" s="91"/>
      <c r="C230" s="91"/>
      <c r="D230" s="2">
        <v>-1</v>
      </c>
      <c r="E230" s="2">
        <v>-2</v>
      </c>
      <c r="F230" s="2">
        <v>-3</v>
      </c>
      <c r="G230" s="104"/>
      <c r="H230" s="104"/>
      <c r="I230" s="104"/>
      <c r="J230" s="104"/>
    </row>
    <row r="231" spans="2:10" ht="48">
      <c r="B231" s="1" t="s">
        <v>0</v>
      </c>
      <c r="C231" s="1" t="s">
        <v>92</v>
      </c>
      <c r="D231" s="47" t="s">
        <v>137</v>
      </c>
      <c r="E231" s="47" t="s">
        <v>138</v>
      </c>
      <c r="F231" s="47" t="s">
        <v>139</v>
      </c>
      <c r="G231" s="104"/>
      <c r="H231" s="104"/>
      <c r="I231" s="104"/>
      <c r="J231" s="104"/>
    </row>
    <row r="232" spans="2:10" ht="12.75">
      <c r="B232" s="5" t="s">
        <v>140</v>
      </c>
      <c r="C232" s="4"/>
      <c r="D232" s="4"/>
      <c r="E232" s="4"/>
      <c r="F232" s="4"/>
      <c r="G232" s="104"/>
      <c r="H232" s="104"/>
      <c r="I232" s="104"/>
      <c r="J232" s="104"/>
    </row>
    <row r="233" spans="2:10" ht="12.75">
      <c r="B233" s="18">
        <v>1</v>
      </c>
      <c r="C233" s="109" t="s">
        <v>141</v>
      </c>
      <c r="D233" s="66">
        <f>H216</f>
        <v>14.785167205366076</v>
      </c>
      <c r="E233" s="66">
        <f>D233</f>
        <v>14.785167205366076</v>
      </c>
      <c r="F233" s="66"/>
      <c r="G233" s="104"/>
      <c r="H233" s="104"/>
      <c r="I233" s="104"/>
      <c r="J233" s="104"/>
    </row>
    <row r="234" spans="2:10" ht="12.75">
      <c r="B234" s="5" t="s">
        <v>142</v>
      </c>
      <c r="C234" s="4"/>
      <c r="D234" s="4"/>
      <c r="E234" s="4"/>
      <c r="F234" s="4"/>
      <c r="G234" s="104"/>
      <c r="H234" s="104"/>
      <c r="I234" s="104"/>
      <c r="J234" s="104"/>
    </row>
    <row r="235" spans="2:10" ht="12.75">
      <c r="B235" s="18">
        <v>2</v>
      </c>
      <c r="C235" s="109" t="s">
        <v>143</v>
      </c>
      <c r="D235" s="66">
        <f>H212</f>
        <v>1.8752448141703306</v>
      </c>
      <c r="E235" s="66">
        <f>D235</f>
        <v>1.8752448141703306</v>
      </c>
      <c r="F235" s="66"/>
      <c r="G235" s="104"/>
      <c r="H235" s="104"/>
      <c r="I235" s="104"/>
      <c r="J235" s="104"/>
    </row>
    <row r="236" spans="2:10" ht="12.75">
      <c r="B236" s="110"/>
      <c r="C236" s="111"/>
      <c r="D236" s="112"/>
      <c r="E236" s="113"/>
      <c r="F236" s="104"/>
      <c r="G236" s="104"/>
      <c r="H236" s="104"/>
      <c r="I236" s="104"/>
      <c r="J236" s="104"/>
    </row>
    <row r="237" spans="2:10" ht="12.75">
      <c r="B237" s="103"/>
      <c r="C237" s="104"/>
      <c r="D237" s="104"/>
      <c r="E237" s="104"/>
      <c r="F237" s="104"/>
      <c r="G237" s="104"/>
      <c r="H237" s="104"/>
      <c r="I237" s="104"/>
      <c r="J237" s="104"/>
    </row>
    <row r="238" spans="2:10" ht="15">
      <c r="B238" s="108" t="s">
        <v>144</v>
      </c>
      <c r="C238" s="108"/>
      <c r="D238" s="108"/>
      <c r="E238" s="108"/>
      <c r="F238" s="108"/>
      <c r="G238" s="104"/>
      <c r="H238" s="104"/>
      <c r="I238" s="104"/>
      <c r="J238" s="104"/>
    </row>
    <row r="239" spans="2:10" ht="15">
      <c r="B239" s="108" t="s">
        <v>145</v>
      </c>
      <c r="C239" s="108"/>
      <c r="D239" s="108"/>
      <c r="E239" s="108"/>
      <c r="F239" s="108"/>
      <c r="G239" s="104"/>
      <c r="H239" s="104"/>
      <c r="I239" s="104"/>
      <c r="J239" s="104"/>
    </row>
    <row r="240" spans="2:10" ht="15">
      <c r="B240" s="72"/>
      <c r="C240" s="72"/>
      <c r="D240" s="72"/>
      <c r="E240" s="72"/>
      <c r="F240" s="104"/>
      <c r="G240" s="104"/>
      <c r="H240" s="104"/>
      <c r="I240" s="104"/>
      <c r="J240" s="104"/>
    </row>
    <row r="241" spans="2:10" ht="15">
      <c r="B241" s="91"/>
      <c r="C241" s="91"/>
      <c r="D241" s="2">
        <v>-1</v>
      </c>
      <c r="E241" s="2">
        <v>-2</v>
      </c>
      <c r="F241" s="2">
        <v>-3</v>
      </c>
      <c r="G241" s="104"/>
      <c r="H241" s="104"/>
      <c r="I241" s="104"/>
      <c r="J241" s="104"/>
    </row>
    <row r="242" spans="2:10" ht="48">
      <c r="B242" s="1" t="s">
        <v>0</v>
      </c>
      <c r="C242" s="1" t="s">
        <v>92</v>
      </c>
      <c r="D242" s="47" t="s">
        <v>137</v>
      </c>
      <c r="E242" s="47" t="s">
        <v>137</v>
      </c>
      <c r="F242" s="47" t="s">
        <v>138</v>
      </c>
      <c r="G242" s="104"/>
      <c r="H242" s="104"/>
      <c r="I242" s="104"/>
      <c r="J242" s="104"/>
    </row>
    <row r="243" spans="2:10" ht="12.75">
      <c r="B243" s="5" t="s">
        <v>140</v>
      </c>
      <c r="C243" s="5"/>
      <c r="D243" s="5"/>
      <c r="E243" s="5"/>
      <c r="F243" s="5"/>
      <c r="G243" s="104"/>
      <c r="H243" s="104"/>
      <c r="I243" s="104"/>
      <c r="J243" s="104"/>
    </row>
    <row r="244" spans="2:10" ht="12.75">
      <c r="B244" s="18">
        <v>1</v>
      </c>
      <c r="C244" s="7" t="s">
        <v>146</v>
      </c>
      <c r="D244" s="66">
        <f>D233</f>
        <v>14.785167205366076</v>
      </c>
      <c r="E244" s="66">
        <f>D244</f>
        <v>14.785167205366076</v>
      </c>
      <c r="F244" s="66"/>
      <c r="G244" s="104"/>
      <c r="H244" s="114"/>
      <c r="I244" s="104"/>
      <c r="J244" s="104"/>
    </row>
    <row r="245" spans="2:10" ht="12.75">
      <c r="B245" s="18">
        <v>2</v>
      </c>
      <c r="C245" s="7" t="s">
        <v>147</v>
      </c>
      <c r="D245" s="65">
        <f>H219</f>
        <v>0.8368144488667603</v>
      </c>
      <c r="E245" s="65">
        <f>D245</f>
        <v>0.8368144488667603</v>
      </c>
      <c r="F245" s="65"/>
      <c r="G245" s="104"/>
      <c r="H245" s="114"/>
      <c r="I245" s="104"/>
      <c r="J245" s="104"/>
    </row>
    <row r="246" spans="2:10" ht="12.75">
      <c r="B246" s="18">
        <v>3</v>
      </c>
      <c r="C246" s="7" t="s">
        <v>148</v>
      </c>
      <c r="D246" s="65">
        <f>H218</f>
        <v>5.904311273286584</v>
      </c>
      <c r="E246" s="65">
        <f>D246</f>
        <v>5.904311273286584</v>
      </c>
      <c r="F246" s="65"/>
      <c r="G246" s="104"/>
      <c r="H246" s="114"/>
      <c r="I246" s="104"/>
      <c r="J246" s="104"/>
    </row>
    <row r="247" spans="2:10" ht="12.75">
      <c r="B247" s="5" t="s">
        <v>142</v>
      </c>
      <c r="C247" s="4"/>
      <c r="D247" s="4"/>
      <c r="E247" s="4"/>
      <c r="F247" s="4"/>
      <c r="G247" s="104"/>
      <c r="H247" s="114"/>
      <c r="I247" s="104"/>
      <c r="J247" s="104"/>
    </row>
    <row r="248" spans="2:10" ht="12.75">
      <c r="B248" s="18">
        <v>4</v>
      </c>
      <c r="C248" s="7" t="s">
        <v>143</v>
      </c>
      <c r="D248" s="66">
        <f>H213</f>
        <v>2.4378182584214296</v>
      </c>
      <c r="E248" s="66">
        <f>D248</f>
        <v>2.4378182584214296</v>
      </c>
      <c r="F248" s="66"/>
      <c r="G248" s="104"/>
      <c r="H248" s="104"/>
      <c r="I248" s="104"/>
      <c r="J248" s="104"/>
    </row>
    <row r="255" spans="2:7" ht="15">
      <c r="B255" s="108" t="s">
        <v>164</v>
      </c>
      <c r="C255" s="108"/>
      <c r="D255" s="108"/>
      <c r="E255" s="108"/>
      <c r="F255" s="108"/>
      <c r="G255" s="108"/>
    </row>
    <row r="256" spans="2:7" ht="15">
      <c r="B256" s="108" t="s">
        <v>165</v>
      </c>
      <c r="C256" s="108"/>
      <c r="D256" s="108"/>
      <c r="E256" s="108"/>
      <c r="F256" s="108"/>
      <c r="G256" s="108"/>
    </row>
    <row r="257" spans="2:7" ht="49.5">
      <c r="B257" s="24"/>
      <c r="C257" s="24"/>
      <c r="D257" s="24" t="s">
        <v>166</v>
      </c>
      <c r="E257" s="122" t="s">
        <v>167</v>
      </c>
      <c r="F257" s="122" t="s">
        <v>171</v>
      </c>
      <c r="G257" s="122" t="str">
        <f>'SWCOS non res cre SG'!F257</f>
        <v>Credits and SMIP/GARP allocated to Non-Res Only</v>
      </c>
    </row>
    <row r="258" spans="2:7" ht="12.75">
      <c r="B258" s="24"/>
      <c r="C258" s="7" t="s">
        <v>147</v>
      </c>
      <c r="D258" s="123">
        <f>SWCOS!D237</f>
        <v>0.7782807957076864</v>
      </c>
      <c r="E258" s="123">
        <f>'SWCOS non res credits'!D239</f>
        <v>0.8769208408461258</v>
      </c>
      <c r="F258" s="123">
        <f>D245</f>
        <v>0.8368144488667603</v>
      </c>
      <c r="G258" s="123">
        <f>'SWCOS non res cre SG'!F258</f>
        <v>0.9267828416853369</v>
      </c>
    </row>
    <row r="259" spans="2:7" ht="12.75">
      <c r="B259" s="24"/>
      <c r="C259" s="7" t="s">
        <v>148</v>
      </c>
      <c r="D259" s="123">
        <f>SWCOS!D238</f>
        <v>5.492407788093101</v>
      </c>
      <c r="E259" s="123">
        <f>'SWCOS non res credits'!D240</f>
        <v>5.898891490586671</v>
      </c>
      <c r="F259" s="123">
        <f>D246</f>
        <v>5.904311273286584</v>
      </c>
      <c r="G259" s="123">
        <f>'SWCOS non res cre SG'!F259</f>
        <v>6.277192323040685</v>
      </c>
    </row>
    <row r="260" spans="2:7" ht="12">
      <c r="B260" s="24"/>
      <c r="C260" s="24"/>
      <c r="D260" s="24"/>
      <c r="E260" s="24"/>
      <c r="F260" s="24"/>
      <c r="G260" s="24"/>
    </row>
    <row r="261" spans="2:7" ht="12">
      <c r="B261" s="24"/>
      <c r="C261" s="24"/>
      <c r="D261" s="24"/>
      <c r="E261" s="24" t="s">
        <v>169</v>
      </c>
      <c r="F261" s="24" t="s">
        <v>169</v>
      </c>
      <c r="G261" s="24" t="str">
        <f>'SWCOS non res cre SG'!F261</f>
        <v>Variance ($)</v>
      </c>
    </row>
    <row r="262" spans="2:7" ht="12.75">
      <c r="B262" s="24"/>
      <c r="C262" s="7" t="s">
        <v>147</v>
      </c>
      <c r="D262" s="24"/>
      <c r="E262" s="124">
        <f>E258-D258</f>
        <v>0.09864004513843938</v>
      </c>
      <c r="F262" s="124">
        <f>F258-D258</f>
        <v>0.058533653159073884</v>
      </c>
      <c r="G262" s="124">
        <f>'SWCOS non res cre SG'!F262</f>
        <v>0.1485020459776505</v>
      </c>
    </row>
    <row r="263" spans="2:7" ht="12.75">
      <c r="B263" s="24"/>
      <c r="C263" s="7" t="s">
        <v>148</v>
      </c>
      <c r="D263" s="24"/>
      <c r="E263" s="124">
        <f>E259-D259</f>
        <v>0.4064837024935697</v>
      </c>
      <c r="F263" s="124">
        <f>F259-D259</f>
        <v>0.4119034851934833</v>
      </c>
      <c r="G263" s="124">
        <f>'SWCOS non res cre SG'!F263</f>
        <v>0.7847845349475842</v>
      </c>
    </row>
    <row r="264" spans="2:7" ht="12">
      <c r="B264" s="24"/>
      <c r="C264" s="24"/>
      <c r="D264" s="24"/>
      <c r="E264" s="24"/>
      <c r="F264" s="24"/>
      <c r="G264" s="24"/>
    </row>
    <row r="265" spans="2:7" ht="12">
      <c r="B265" s="24"/>
      <c r="C265" s="24"/>
      <c r="D265" s="24"/>
      <c r="E265" s="24" t="s">
        <v>170</v>
      </c>
      <c r="F265" s="24" t="s">
        <v>170</v>
      </c>
      <c r="G265" s="24" t="str">
        <f>'SWCOS non res cre SG'!F265</f>
        <v>Variance (%)</v>
      </c>
    </row>
    <row r="266" spans="2:7" ht="12.75">
      <c r="B266" s="24"/>
      <c r="C266" s="7" t="s">
        <v>147</v>
      </c>
      <c r="D266" s="24"/>
      <c r="E266" s="125">
        <f>E262/$D258</f>
        <v>0.12674094707520894</v>
      </c>
      <c r="F266" s="125">
        <f>F262/$D258</f>
        <v>0.07520891364902504</v>
      </c>
      <c r="G266" s="125">
        <f>'SWCOS non res cre SG'!F266</f>
        <v>0.19080779944289697</v>
      </c>
    </row>
    <row r="267" spans="2:7" ht="12.75">
      <c r="B267" s="24"/>
      <c r="C267" s="7" t="s">
        <v>148</v>
      </c>
      <c r="D267" s="24"/>
      <c r="E267" s="125">
        <f>E263/$D259</f>
        <v>0.07400828892836014</v>
      </c>
      <c r="F267" s="125">
        <f>F263/$D259</f>
        <v>0.0749950661140715</v>
      </c>
      <c r="G267" s="125">
        <f>'SWCOS non res cre SG'!F267</f>
        <v>0.14288533649102048</v>
      </c>
    </row>
    <row r="268" spans="2:7" ht="12">
      <c r="B268" s="24"/>
      <c r="C268" s="24"/>
      <c r="D268" s="24"/>
      <c r="E268" s="24"/>
      <c r="F268" s="24"/>
      <c r="G268" s="24"/>
    </row>
  </sheetData>
  <sheetProtection/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0" bestFit="1" customWidth="1"/>
    <col min="3" max="3" width="33.421875" style="0" customWidth="1"/>
    <col min="4" max="4" width="15.140625" style="0" customWidth="1"/>
    <col min="5" max="5" width="14.00390625" style="0" customWidth="1"/>
    <col min="6" max="6" width="16.421875" style="0" bestFit="1" customWidth="1"/>
    <col min="7" max="7" width="14.421875" style="0" bestFit="1" customWidth="1"/>
    <col min="8" max="8" width="11.00390625" style="0" customWidth="1"/>
    <col min="9" max="9" width="11.00390625" style="0" bestFit="1" customWidth="1"/>
    <col min="10" max="10" width="13.140625" style="0" bestFit="1" customWidth="1"/>
    <col min="11" max="11" width="12.57421875" style="0" customWidth="1"/>
    <col min="12" max="12" width="12.421875" style="0" customWidth="1"/>
  </cols>
  <sheetData>
    <row r="1" spans="1:3" ht="14.25">
      <c r="A1" s="10" t="s">
        <v>2</v>
      </c>
      <c r="B1" s="11" t="s">
        <v>3</v>
      </c>
      <c r="C1" s="12"/>
    </row>
    <row r="3" spans="2:17" ht="28.5" customHeight="1">
      <c r="B3" s="127" t="s">
        <v>178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6" spans="2:5" ht="54">
      <c r="B6" s="120" t="s">
        <v>4</v>
      </c>
      <c r="C6" s="120"/>
      <c r="D6" s="120"/>
      <c r="E6" s="120"/>
    </row>
    <row r="7" spans="2:5" ht="18">
      <c r="B7" s="13"/>
      <c r="C7" s="13"/>
      <c r="D7" s="13"/>
      <c r="E7" s="13"/>
    </row>
    <row r="9" spans="2:5" ht="15">
      <c r="B9" s="15"/>
      <c r="C9" s="15"/>
      <c r="D9" s="2">
        <v>-1</v>
      </c>
      <c r="E9" s="2">
        <v>-2</v>
      </c>
    </row>
    <row r="10" spans="2:5" ht="15.75">
      <c r="B10" s="1" t="s">
        <v>0</v>
      </c>
      <c r="C10" s="1" t="s">
        <v>5</v>
      </c>
      <c r="D10" s="3" t="s">
        <v>6</v>
      </c>
      <c r="E10" s="3" t="s">
        <v>7</v>
      </c>
    </row>
    <row r="11" spans="2:5" ht="14.25">
      <c r="B11" s="16"/>
      <c r="C11" s="16" t="s">
        <v>8</v>
      </c>
      <c r="D11" s="17"/>
      <c r="E11" s="17"/>
    </row>
    <row r="12" spans="2:5" ht="12.75">
      <c r="B12" s="18">
        <v>1</v>
      </c>
      <c r="C12" s="7" t="s">
        <v>9</v>
      </c>
      <c r="D12" s="19">
        <v>462669.6964285714</v>
      </c>
      <c r="E12" s="19">
        <v>462669.54464285716</v>
      </c>
    </row>
    <row r="13" spans="2:5" ht="12.75">
      <c r="B13" s="18">
        <v>2</v>
      </c>
      <c r="C13" s="7" t="s">
        <v>10</v>
      </c>
      <c r="D13" s="19">
        <v>73240.30357142857</v>
      </c>
      <c r="E13" s="19">
        <v>73223.45535714287</v>
      </c>
    </row>
    <row r="14" spans="2:5" ht="12.75">
      <c r="B14" s="18">
        <v>3</v>
      </c>
      <c r="C14" s="7" t="s">
        <v>11</v>
      </c>
      <c r="D14" s="19">
        <v>2181</v>
      </c>
      <c r="E14" s="19">
        <v>2181</v>
      </c>
    </row>
    <row r="15" spans="2:5" ht="12">
      <c r="B15" s="20"/>
      <c r="C15" s="20"/>
      <c r="D15" s="21"/>
      <c r="E15" s="21"/>
    </row>
    <row r="16" spans="1:5" ht="12.75">
      <c r="A16" s="22"/>
      <c r="B16" s="18">
        <v>4</v>
      </c>
      <c r="C16" s="7" t="s">
        <v>12</v>
      </c>
      <c r="D16" s="23">
        <f>SUM(D12:D15)</f>
        <v>538091</v>
      </c>
      <c r="E16" s="23">
        <f>SUM(E12:E15)</f>
        <v>538074</v>
      </c>
    </row>
    <row r="17" spans="2:5" ht="12">
      <c r="B17" s="24"/>
      <c r="C17" s="24"/>
      <c r="D17" s="24"/>
      <c r="E17" s="24"/>
    </row>
    <row r="18" spans="2:5" ht="14.25">
      <c r="B18" s="16" t="s">
        <v>13</v>
      </c>
      <c r="C18" s="16"/>
      <c r="D18" s="17"/>
      <c r="E18" s="17"/>
    </row>
    <row r="19" spans="2:5" ht="12.75">
      <c r="B19" s="18">
        <v>5</v>
      </c>
      <c r="C19" s="7" t="s">
        <v>9</v>
      </c>
      <c r="D19" s="19">
        <v>555203.5415387482</v>
      </c>
      <c r="E19" s="19">
        <v>555203.3123081224</v>
      </c>
    </row>
    <row r="20" spans="2:5" ht="12.75">
      <c r="B20" s="18">
        <v>6</v>
      </c>
      <c r="C20" s="7" t="s">
        <v>10</v>
      </c>
      <c r="D20" s="19">
        <v>606074.0087813605</v>
      </c>
      <c r="E20" s="19">
        <v>600158.1610685977</v>
      </c>
    </row>
    <row r="21" spans="2:5" ht="12.75">
      <c r="B21" s="18">
        <v>7</v>
      </c>
      <c r="C21" s="7" t="s">
        <v>11</v>
      </c>
      <c r="D21" s="19">
        <v>20729.358679891033</v>
      </c>
      <c r="E21" s="19">
        <v>20476.56262327985</v>
      </c>
    </row>
    <row r="22" spans="2:5" ht="12">
      <c r="B22" s="20"/>
      <c r="C22" s="20"/>
      <c r="D22" s="21"/>
      <c r="E22" s="21"/>
    </row>
    <row r="23" spans="1:5" ht="12.75">
      <c r="A23" s="22"/>
      <c r="B23" s="18">
        <v>8</v>
      </c>
      <c r="C23" s="7" t="s">
        <v>14</v>
      </c>
      <c r="D23" s="23">
        <f>SUM(D19:D22)</f>
        <v>1182006.9089999998</v>
      </c>
      <c r="E23" s="23">
        <f>SUM(E19:E22)</f>
        <v>1175838.036</v>
      </c>
    </row>
    <row r="24" spans="2:5" ht="12">
      <c r="B24" s="24"/>
      <c r="C24" s="24"/>
      <c r="D24" s="24"/>
      <c r="E24" s="24"/>
    </row>
    <row r="25" spans="2:5" ht="14.25">
      <c r="B25" s="16"/>
      <c r="C25" s="16" t="s">
        <v>15</v>
      </c>
      <c r="D25" s="17"/>
      <c r="E25" s="17"/>
    </row>
    <row r="26" spans="2:5" ht="12.75">
      <c r="B26" s="18">
        <v>9</v>
      </c>
      <c r="C26" s="7" t="s">
        <v>9</v>
      </c>
      <c r="D26" s="19">
        <v>976231.7801720412</v>
      </c>
      <c r="E26" s="19">
        <v>976230.8202580618</v>
      </c>
    </row>
    <row r="27" spans="2:5" ht="12.75">
      <c r="B27" s="18">
        <v>10</v>
      </c>
      <c r="C27" s="7" t="s">
        <v>10</v>
      </c>
      <c r="D27" s="19">
        <v>1083413.6537617554</v>
      </c>
      <c r="E27" s="19">
        <v>1069072.8657339911</v>
      </c>
    </row>
    <row r="28" spans="2:5" ht="12.75">
      <c r="B28" s="18">
        <v>11</v>
      </c>
      <c r="C28" s="7" t="s">
        <v>11</v>
      </c>
      <c r="D28" s="19">
        <v>28684.14306620331</v>
      </c>
      <c r="E28" s="19">
        <v>28353.12800794687</v>
      </c>
    </row>
    <row r="29" spans="2:5" ht="12">
      <c r="B29" s="20"/>
      <c r="C29" s="20"/>
      <c r="D29" s="21"/>
      <c r="E29" s="21"/>
    </row>
    <row r="30" spans="1:5" ht="12.75">
      <c r="A30" s="22"/>
      <c r="B30" s="18">
        <v>12</v>
      </c>
      <c r="C30" s="7" t="s">
        <v>16</v>
      </c>
      <c r="D30" s="23">
        <f>SUM(D26:D29)</f>
        <v>2088329.5769999998</v>
      </c>
      <c r="E30" s="23">
        <f>SUM(E26:E29)</f>
        <v>2073656.8139999995</v>
      </c>
    </row>
    <row r="33" spans="2:17" ht="18">
      <c r="B33" s="13" t="s">
        <v>17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2:17" ht="18">
      <c r="B34" s="13" t="s">
        <v>18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2:17" ht="18">
      <c r="B35" s="13" t="s">
        <v>19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2:11" ht="15"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2:17" ht="15">
      <c r="B37" s="15"/>
      <c r="C37" s="15"/>
      <c r="D37" s="2">
        <v>-1</v>
      </c>
      <c r="E37" s="2">
        <v>-2</v>
      </c>
      <c r="F37" s="2">
        <v>-3</v>
      </c>
      <c r="G37" s="2">
        <v>-4</v>
      </c>
      <c r="H37" s="2">
        <v>-5</v>
      </c>
      <c r="I37" s="2">
        <v>-6</v>
      </c>
      <c r="J37" s="2">
        <v>-7</v>
      </c>
      <c r="K37" s="2">
        <v>-8</v>
      </c>
      <c r="L37" s="2">
        <f aca="true" t="shared" si="0" ref="L37:Q37">K37-1</f>
        <v>-9</v>
      </c>
      <c r="M37" s="2">
        <f t="shared" si="0"/>
        <v>-10</v>
      </c>
      <c r="N37" s="2">
        <f t="shared" si="0"/>
        <v>-11</v>
      </c>
      <c r="O37" s="2">
        <f t="shared" si="0"/>
        <v>-12</v>
      </c>
      <c r="P37" s="2">
        <f t="shared" si="0"/>
        <v>-13</v>
      </c>
      <c r="Q37" s="2">
        <f t="shared" si="0"/>
        <v>-14</v>
      </c>
    </row>
    <row r="38" spans="2:17" ht="15.75">
      <c r="B38" s="26"/>
      <c r="C38" s="26"/>
      <c r="D38" s="26"/>
      <c r="E38" s="27" t="s">
        <v>20</v>
      </c>
      <c r="F38" s="27"/>
      <c r="G38" s="27"/>
      <c r="H38" s="27"/>
      <c r="I38" s="27" t="s">
        <v>21</v>
      </c>
      <c r="J38" s="27"/>
      <c r="K38" s="27"/>
      <c r="L38" s="27"/>
      <c r="M38" s="27" t="s">
        <v>22</v>
      </c>
      <c r="N38" s="27"/>
      <c r="O38" s="27"/>
      <c r="P38" s="27" t="s">
        <v>23</v>
      </c>
      <c r="Q38" s="27"/>
    </row>
    <row r="39" spans="2:17" ht="63.75">
      <c r="B39" s="1" t="s">
        <v>0</v>
      </c>
      <c r="C39" s="1" t="s">
        <v>24</v>
      </c>
      <c r="D39" s="28" t="s">
        <v>25</v>
      </c>
      <c r="E39" s="3" t="s">
        <v>26</v>
      </c>
      <c r="F39" s="3" t="s">
        <v>27</v>
      </c>
      <c r="G39" s="3" t="s">
        <v>28</v>
      </c>
      <c r="H39" s="3" t="s">
        <v>29</v>
      </c>
      <c r="I39" s="3" t="s">
        <v>30</v>
      </c>
      <c r="J39" s="3" t="s">
        <v>31</v>
      </c>
      <c r="K39" s="3" t="s">
        <v>32</v>
      </c>
      <c r="L39" s="3" t="s">
        <v>33</v>
      </c>
      <c r="M39" s="3" t="s">
        <v>34</v>
      </c>
      <c r="N39" s="3" t="s">
        <v>35</v>
      </c>
      <c r="O39" s="3" t="s">
        <v>36</v>
      </c>
      <c r="P39" s="3" t="s">
        <v>37</v>
      </c>
      <c r="Q39" s="3" t="s">
        <v>38</v>
      </c>
    </row>
    <row r="40" spans="2:17" ht="12.75">
      <c r="B40" s="4"/>
      <c r="C40" s="29" t="s">
        <v>39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2:17" ht="12.75">
      <c r="B41" s="18">
        <v>1</v>
      </c>
      <c r="C41" s="7" t="s">
        <v>40</v>
      </c>
      <c r="D41" s="31">
        <f>SUM(E41:Q41)</f>
        <v>1098038.4</v>
      </c>
      <c r="E41" s="32">
        <v>0</v>
      </c>
      <c r="F41" s="32">
        <v>0</v>
      </c>
      <c r="G41" s="32">
        <v>1098038.4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</row>
    <row r="42" spans="2:17" ht="12.75">
      <c r="B42" s="18">
        <v>2</v>
      </c>
      <c r="C42" s="7" t="s">
        <v>41</v>
      </c>
      <c r="D42" s="33">
        <f>SUM(E42:Q42)</f>
        <v>95942.63429289404</v>
      </c>
      <c r="E42" s="34">
        <v>0</v>
      </c>
      <c r="F42" s="34">
        <v>0</v>
      </c>
      <c r="G42" s="34">
        <v>65875.8</v>
      </c>
      <c r="H42" s="34">
        <v>18122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11944.83429289404</v>
      </c>
      <c r="O42" s="34">
        <v>0</v>
      </c>
      <c r="P42" s="34">
        <v>0</v>
      </c>
      <c r="Q42" s="34">
        <v>0</v>
      </c>
    </row>
    <row r="43" spans="2:17" ht="12.75">
      <c r="B43" s="18">
        <v>3</v>
      </c>
      <c r="C43" s="7" t="s">
        <v>42</v>
      </c>
      <c r="D43" s="33">
        <f>SUM(E43:Q43)</f>
        <v>48396.4</v>
      </c>
      <c r="E43" s="34">
        <v>0</v>
      </c>
      <c r="F43" s="34">
        <v>0</v>
      </c>
      <c r="G43" s="34">
        <v>48396.4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</row>
    <row r="44" spans="1:17" ht="12.75">
      <c r="A44" s="22"/>
      <c r="B44" s="18">
        <v>4</v>
      </c>
      <c r="C44" s="7" t="s">
        <v>43</v>
      </c>
      <c r="D44" s="33">
        <f>SUM(E44:Q44)</f>
        <v>21937.5</v>
      </c>
      <c r="E44" s="34">
        <v>0</v>
      </c>
      <c r="F44" s="34">
        <v>0</v>
      </c>
      <c r="G44" s="34">
        <v>21937.5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</row>
    <row r="45" spans="2:17" ht="12.75">
      <c r="B45" s="35"/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2:17" ht="12.75">
      <c r="B46" s="18">
        <v>5</v>
      </c>
      <c r="C46" s="7" t="s">
        <v>44</v>
      </c>
      <c r="D46" s="33">
        <f>SUM(E46:Q46)</f>
        <v>166276.53429289407</v>
      </c>
      <c r="E46" s="38">
        <f>SUM(E42:E45)</f>
        <v>0</v>
      </c>
      <c r="F46" s="38">
        <f>SUM(F42:F45)</f>
        <v>0</v>
      </c>
      <c r="G46" s="38">
        <f>SUM(G42:G45)</f>
        <v>136209.7</v>
      </c>
      <c r="H46" s="38">
        <f aca="true" t="shared" si="1" ref="H46:N46">SUM(H42:H45)</f>
        <v>18122</v>
      </c>
      <c r="I46" s="38">
        <f t="shared" si="1"/>
        <v>0</v>
      </c>
      <c r="J46" s="38">
        <f t="shared" si="1"/>
        <v>0</v>
      </c>
      <c r="K46" s="38">
        <f t="shared" si="1"/>
        <v>0</v>
      </c>
      <c r="L46" s="38">
        <f t="shared" si="1"/>
        <v>0</v>
      </c>
      <c r="M46" s="38">
        <f t="shared" si="1"/>
        <v>0</v>
      </c>
      <c r="N46" s="38">
        <f t="shared" si="1"/>
        <v>11944.83429289404</v>
      </c>
      <c r="O46" s="38">
        <f>SUM(O42:O45)</f>
        <v>0</v>
      </c>
      <c r="P46" s="38">
        <f>SUM(P42:P45)</f>
        <v>0</v>
      </c>
      <c r="Q46" s="38">
        <f>SUM(Q42:Q45)</f>
        <v>0</v>
      </c>
    </row>
    <row r="47" spans="2:17" ht="12.75">
      <c r="B47" s="39"/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2:17" ht="12.75">
      <c r="B48" s="4"/>
      <c r="C48" s="29" t="s">
        <v>45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2:17" ht="13.5" thickBot="1">
      <c r="B49" s="18">
        <v>6</v>
      </c>
      <c r="C49" s="7" t="s">
        <v>46</v>
      </c>
      <c r="D49" s="33">
        <f>SUM(E49:Q49)</f>
        <v>21139.9626225231</v>
      </c>
      <c r="E49" s="42">
        <v>555.0066114405644</v>
      </c>
      <c r="F49" s="42">
        <v>4267.306587963629</v>
      </c>
      <c r="G49" s="42">
        <v>0</v>
      </c>
      <c r="H49" s="42">
        <v>0</v>
      </c>
      <c r="I49" s="42">
        <v>6750.341239147378</v>
      </c>
      <c r="J49" s="42">
        <v>4971.821502486066</v>
      </c>
      <c r="K49" s="42">
        <v>4038.712170008457</v>
      </c>
      <c r="L49" s="43">
        <v>556.7745114770069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</row>
    <row r="50" spans="2:17" ht="15" thickTop="1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5"/>
    </row>
    <row r="51" spans="2:17" ht="12.75">
      <c r="B51" s="18">
        <v>7</v>
      </c>
      <c r="C51" s="7" t="s">
        <v>1</v>
      </c>
      <c r="D51" s="33">
        <f>SUM(E51:Q51)</f>
        <v>187416.49691541714</v>
      </c>
      <c r="E51" s="46">
        <f>E46+E49</f>
        <v>555.0066114405644</v>
      </c>
      <c r="F51" s="46">
        <f aca="true" t="shared" si="2" ref="F51:Q51">F46+F49</f>
        <v>4267.306587963629</v>
      </c>
      <c r="G51" s="46">
        <f t="shared" si="2"/>
        <v>136209.7</v>
      </c>
      <c r="H51" s="46">
        <f t="shared" si="2"/>
        <v>18122</v>
      </c>
      <c r="I51" s="46">
        <f t="shared" si="2"/>
        <v>6750.341239147378</v>
      </c>
      <c r="J51" s="46">
        <f t="shared" si="2"/>
        <v>4971.821502486066</v>
      </c>
      <c r="K51" s="46">
        <f t="shared" si="2"/>
        <v>4038.712170008457</v>
      </c>
      <c r="L51" s="46">
        <f t="shared" si="2"/>
        <v>556.7745114770069</v>
      </c>
      <c r="M51" s="46">
        <f>M46+M49</f>
        <v>0</v>
      </c>
      <c r="N51" s="46">
        <f t="shared" si="2"/>
        <v>11944.83429289404</v>
      </c>
      <c r="O51" s="46">
        <f t="shared" si="2"/>
        <v>0</v>
      </c>
      <c r="P51" s="46">
        <f t="shared" si="2"/>
        <v>0</v>
      </c>
      <c r="Q51" s="46">
        <f t="shared" si="2"/>
        <v>0</v>
      </c>
    </row>
    <row r="52" spans="2:11" ht="12"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60" spans="2:5" ht="15">
      <c r="B60" s="108" t="s">
        <v>47</v>
      </c>
      <c r="C60" s="108"/>
      <c r="D60" s="108"/>
      <c r="E60" s="108"/>
    </row>
    <row r="61" spans="2:5" ht="15">
      <c r="B61" s="108" t="s">
        <v>18</v>
      </c>
      <c r="C61" s="108"/>
      <c r="D61" s="108"/>
      <c r="E61" s="108"/>
    </row>
    <row r="62" spans="2:5" ht="15">
      <c r="B62" s="108" t="s">
        <v>19</v>
      </c>
      <c r="C62" s="108"/>
      <c r="D62" s="108"/>
      <c r="E62" s="108"/>
    </row>
    <row r="63" spans="2:5" ht="15">
      <c r="B63" s="25"/>
      <c r="C63" s="25"/>
      <c r="D63" s="25"/>
      <c r="E63" s="25"/>
    </row>
    <row r="64" spans="2:5" ht="15.75">
      <c r="B64" s="26"/>
      <c r="C64" s="26"/>
      <c r="D64" s="26"/>
      <c r="E64" s="2">
        <v>-1</v>
      </c>
    </row>
    <row r="65" spans="2:5" ht="31.5">
      <c r="B65" s="1" t="s">
        <v>0</v>
      </c>
      <c r="C65" s="1" t="s">
        <v>48</v>
      </c>
      <c r="D65" s="3"/>
      <c r="E65" s="47" t="s">
        <v>25</v>
      </c>
    </row>
    <row r="66" spans="2:5" ht="12.75">
      <c r="B66" s="18">
        <v>1</v>
      </c>
      <c r="C66" s="48" t="s">
        <v>49</v>
      </c>
      <c r="D66" s="49"/>
      <c r="E66" s="50">
        <f>N51</f>
        <v>11944.83429289404</v>
      </c>
    </row>
    <row r="67" spans="2:7" ht="30" customHeight="1">
      <c r="B67" s="18">
        <v>2</v>
      </c>
      <c r="C67" s="63" t="s">
        <v>162</v>
      </c>
      <c r="D67" s="52"/>
      <c r="E67" s="38">
        <f>D51-N51-E68</f>
        <v>160471.6626225231</v>
      </c>
      <c r="G67" s="53"/>
    </row>
    <row r="68" spans="2:7" ht="13.5" thickBot="1">
      <c r="B68" s="18">
        <v>3</v>
      </c>
      <c r="C68" s="51" t="s">
        <v>156</v>
      </c>
      <c r="D68" s="52"/>
      <c r="E68" s="38">
        <f>F98</f>
        <v>15000</v>
      </c>
      <c r="G68" s="53"/>
    </row>
    <row r="69" spans="2:5" ht="6.75" customHeight="1" thickTop="1">
      <c r="B69" s="44"/>
      <c r="C69" s="54"/>
      <c r="D69" s="55"/>
      <c r="E69" s="44"/>
    </row>
    <row r="70" spans="2:5" ht="12.75">
      <c r="B70" s="18">
        <v>4</v>
      </c>
      <c r="C70" s="48" t="s">
        <v>1</v>
      </c>
      <c r="D70" s="49"/>
      <c r="E70" s="50">
        <f>SUM(E66:E69)</f>
        <v>187416.49691541714</v>
      </c>
    </row>
    <row r="73" spans="2:5" ht="15">
      <c r="B73" s="108" t="s">
        <v>51</v>
      </c>
      <c r="C73" s="108"/>
      <c r="D73" s="108"/>
      <c r="E73" s="108"/>
    </row>
    <row r="74" spans="2:5" ht="15">
      <c r="B74" s="108" t="s">
        <v>18</v>
      </c>
      <c r="C74" s="108"/>
      <c r="D74" s="108"/>
      <c r="E74" s="108"/>
    </row>
    <row r="76" spans="2:5" ht="15.75">
      <c r="B76" s="1"/>
      <c r="C76" s="1"/>
      <c r="D76" s="2">
        <v>-1</v>
      </c>
      <c r="E76" s="2">
        <v>-2</v>
      </c>
    </row>
    <row r="77" spans="2:5" ht="15.75">
      <c r="B77" s="1" t="s">
        <v>0</v>
      </c>
      <c r="C77" s="1" t="s">
        <v>52</v>
      </c>
      <c r="D77" s="3"/>
      <c r="E77" s="47"/>
    </row>
    <row r="78" spans="2:5" ht="14.25">
      <c r="B78" s="24"/>
      <c r="C78" s="24"/>
      <c r="D78" s="56" t="s">
        <v>53</v>
      </c>
      <c r="E78" s="56" t="s">
        <v>54</v>
      </c>
    </row>
    <row r="79" spans="2:5" ht="12.75">
      <c r="B79" s="8">
        <v>1</v>
      </c>
      <c r="C79" s="7" t="s">
        <v>55</v>
      </c>
      <c r="D79" s="57">
        <v>0.2</v>
      </c>
      <c r="E79" s="57">
        <v>0.8</v>
      </c>
    </row>
    <row r="80" spans="2:5" ht="12.75">
      <c r="B80" s="8">
        <v>2</v>
      </c>
      <c r="C80" s="7" t="s">
        <v>56</v>
      </c>
      <c r="D80" s="58">
        <v>500</v>
      </c>
      <c r="E80" s="58">
        <v>500</v>
      </c>
    </row>
    <row r="81" spans="2:5" ht="12.75">
      <c r="B81" s="8">
        <v>3</v>
      </c>
      <c r="C81" s="7" t="s">
        <v>57</v>
      </c>
      <c r="D81" s="59">
        <v>2110</v>
      </c>
      <c r="E81" s="59">
        <v>1200</v>
      </c>
    </row>
    <row r="82" spans="2:5" ht="12.75">
      <c r="B82" s="8">
        <v>4</v>
      </c>
      <c r="C82" s="7" t="s">
        <v>58</v>
      </c>
      <c r="D82" s="58">
        <v>12</v>
      </c>
      <c r="E82" s="60"/>
    </row>
    <row r="83" spans="2:5" ht="12.75">
      <c r="B83" s="8">
        <v>5</v>
      </c>
      <c r="C83" s="7" t="s">
        <v>59</v>
      </c>
      <c r="D83" s="58">
        <v>1000</v>
      </c>
      <c r="E83" s="60"/>
    </row>
    <row r="87" spans="2:6" ht="18">
      <c r="B87" s="13" t="s">
        <v>60</v>
      </c>
      <c r="C87" s="13"/>
      <c r="D87" s="13"/>
      <c r="E87" s="13"/>
      <c r="F87" s="13"/>
    </row>
    <row r="88" spans="2:6" ht="18">
      <c r="B88" s="13" t="s">
        <v>61</v>
      </c>
      <c r="C88" s="13"/>
      <c r="D88" s="13"/>
      <c r="E88" s="13"/>
      <c r="F88" s="13"/>
    </row>
    <row r="89" spans="2:6" ht="18">
      <c r="B89" s="13" t="s">
        <v>18</v>
      </c>
      <c r="C89" s="13"/>
      <c r="D89" s="13"/>
      <c r="E89" s="13"/>
      <c r="F89" s="13"/>
    </row>
    <row r="91" spans="2:6" ht="15.75">
      <c r="B91" s="1"/>
      <c r="C91" s="1"/>
      <c r="D91" s="2">
        <v>-1</v>
      </c>
      <c r="E91" s="2">
        <v>-2</v>
      </c>
      <c r="F91" s="2">
        <v>-3</v>
      </c>
    </row>
    <row r="92" spans="2:6" ht="15.75">
      <c r="B92" s="1"/>
      <c r="C92" s="1"/>
      <c r="D92" s="3" t="s">
        <v>7</v>
      </c>
      <c r="E92" s="3"/>
      <c r="F92" s="3"/>
    </row>
    <row r="93" spans="2:6" ht="31.5">
      <c r="B93" s="3" t="s">
        <v>62</v>
      </c>
      <c r="C93" s="1" t="s">
        <v>63</v>
      </c>
      <c r="D93" s="3" t="s">
        <v>64</v>
      </c>
      <c r="E93" s="47" t="s">
        <v>65</v>
      </c>
      <c r="F93" s="47" t="s">
        <v>1</v>
      </c>
    </row>
    <row r="94" spans="2:6" ht="12.75">
      <c r="B94" s="18">
        <v>1</v>
      </c>
      <c r="C94" s="48" t="s">
        <v>66</v>
      </c>
      <c r="D94" s="50">
        <f>ROUND(F94*D79,0)</f>
        <v>344</v>
      </c>
      <c r="E94" s="50">
        <f>F94-D94</f>
        <v>1378</v>
      </c>
      <c r="F94" s="61">
        <v>1722</v>
      </c>
    </row>
    <row r="96" spans="2:6" ht="15.75">
      <c r="B96" s="1"/>
      <c r="C96" s="1"/>
      <c r="D96" s="3" t="s">
        <v>7</v>
      </c>
      <c r="E96" s="3"/>
      <c r="F96" s="3"/>
    </row>
    <row r="97" spans="2:6" ht="31.5">
      <c r="B97" s="3" t="s">
        <v>62</v>
      </c>
      <c r="C97" s="1" t="s">
        <v>63</v>
      </c>
      <c r="D97" s="3" t="s">
        <v>64</v>
      </c>
      <c r="E97" s="47" t="s">
        <v>65</v>
      </c>
      <c r="F97" s="47" t="s">
        <v>1</v>
      </c>
    </row>
    <row r="98" spans="2:7" ht="12.75">
      <c r="B98" s="70"/>
      <c r="C98" s="70" t="s">
        <v>159</v>
      </c>
      <c r="D98" s="117">
        <f>D79*$F98</f>
        <v>3000</v>
      </c>
      <c r="E98" s="117">
        <f>E79*$F98</f>
        <v>12000</v>
      </c>
      <c r="F98" s="61">
        <f>0.6*25000</f>
        <v>15000</v>
      </c>
      <c r="G98" s="128" t="s">
        <v>182</v>
      </c>
    </row>
    <row r="99" spans="2:6" ht="12.75">
      <c r="B99" s="70"/>
      <c r="C99" s="70"/>
      <c r="D99" s="70"/>
      <c r="E99" s="70"/>
      <c r="F99" s="70"/>
    </row>
    <row r="100" spans="2:6" ht="12.75">
      <c r="B100" s="70" t="s">
        <v>157</v>
      </c>
      <c r="C100" s="70" t="s">
        <v>158</v>
      </c>
      <c r="D100" s="70"/>
      <c r="E100" s="70"/>
      <c r="F100" s="70"/>
    </row>
    <row r="102" spans="2:6" ht="18">
      <c r="B102" s="13" t="s">
        <v>67</v>
      </c>
      <c r="C102" s="13"/>
      <c r="D102" s="13"/>
      <c r="E102" s="13"/>
      <c r="F102" s="13"/>
    </row>
    <row r="103" spans="2:6" ht="18">
      <c r="B103" s="13" t="s">
        <v>68</v>
      </c>
      <c r="C103" s="13"/>
      <c r="D103" s="13"/>
      <c r="E103" s="13"/>
      <c r="F103" s="13"/>
    </row>
    <row r="104" spans="2:6" ht="18">
      <c r="B104" s="13" t="s">
        <v>69</v>
      </c>
      <c r="C104" s="13"/>
      <c r="D104" s="13"/>
      <c r="E104" s="13"/>
      <c r="F104" s="13"/>
    </row>
    <row r="105" spans="2:6" ht="18">
      <c r="B105" s="13"/>
      <c r="C105" s="13"/>
      <c r="D105" s="13"/>
      <c r="E105" s="13"/>
      <c r="F105" s="13"/>
    </row>
    <row r="107" spans="2:6" ht="15.75">
      <c r="B107" s="1"/>
      <c r="C107" s="1"/>
      <c r="D107" s="2">
        <v>-1</v>
      </c>
      <c r="E107" s="2">
        <v>-2</v>
      </c>
      <c r="F107" s="2">
        <v>-3</v>
      </c>
    </row>
    <row r="108" spans="2:12" ht="15.75">
      <c r="B108" s="1"/>
      <c r="C108" s="62" t="s">
        <v>70</v>
      </c>
      <c r="D108" s="3" t="s">
        <v>7</v>
      </c>
      <c r="E108" s="3"/>
      <c r="F108" s="3"/>
      <c r="I108" t="s">
        <v>7</v>
      </c>
      <c r="K108" t="s">
        <v>53</v>
      </c>
      <c r="L108" t="s">
        <v>54</v>
      </c>
    </row>
    <row r="109" spans="2:12" ht="15.75">
      <c r="B109" s="1" t="s">
        <v>0</v>
      </c>
      <c r="C109" s="1" t="s">
        <v>63</v>
      </c>
      <c r="D109" s="3" t="s">
        <v>64</v>
      </c>
      <c r="E109" s="47" t="s">
        <v>65</v>
      </c>
      <c r="F109" s="47" t="s">
        <v>1</v>
      </c>
      <c r="I109" t="s">
        <v>149</v>
      </c>
      <c r="K109" s="116">
        <v>352820.378</v>
      </c>
      <c r="L109" s="116">
        <v>108341.11875436635</v>
      </c>
    </row>
    <row r="110" spans="2:6" ht="12.75">
      <c r="B110" s="4"/>
      <c r="C110" s="5"/>
      <c r="D110" s="6">
        <v>0.2</v>
      </c>
      <c r="E110" s="6">
        <v>0.8</v>
      </c>
      <c r="F110" s="30"/>
    </row>
    <row r="111" spans="2:6" ht="25.5">
      <c r="B111" s="18">
        <v>1</v>
      </c>
      <c r="C111" s="48" t="s">
        <v>160</v>
      </c>
      <c r="D111" s="50">
        <f>ROUND($F111*D110,3)</f>
        <v>32094.333</v>
      </c>
      <c r="E111" s="50">
        <f>ROUND($F111*E110,3)</f>
        <v>128377.33</v>
      </c>
      <c r="F111" s="50">
        <f>E67</f>
        <v>160471.6626225231</v>
      </c>
    </row>
    <row r="112" spans="2:7" ht="25.5">
      <c r="B112" s="18" t="s">
        <v>150</v>
      </c>
      <c r="C112" s="63" t="s">
        <v>72</v>
      </c>
      <c r="D112" s="115">
        <f>E30*2</f>
        <v>4147313.627999999</v>
      </c>
      <c r="E112" s="115">
        <f>E23*2</f>
        <v>2351676.072</v>
      </c>
      <c r="F112" s="64"/>
      <c r="G112" t="s">
        <v>154</v>
      </c>
    </row>
    <row r="113" spans="2:6" ht="12.75">
      <c r="B113" s="18" t="s">
        <v>151</v>
      </c>
      <c r="C113" s="63" t="s">
        <v>152</v>
      </c>
      <c r="D113" s="115">
        <f>K109*2</f>
        <v>705640.756</v>
      </c>
      <c r="E113" s="115">
        <f>L109*2</f>
        <v>216682.2375087327</v>
      </c>
      <c r="F113" s="64"/>
    </row>
    <row r="114" spans="2:7" ht="12.75">
      <c r="B114" s="18">
        <v>2</v>
      </c>
      <c r="C114" s="63" t="s">
        <v>153</v>
      </c>
      <c r="D114" s="115">
        <f>D112+D113</f>
        <v>4852954.384</v>
      </c>
      <c r="E114" s="115">
        <f>E112+E113</f>
        <v>2568358.309508733</v>
      </c>
      <c r="F114" s="64"/>
      <c r="G114" t="s">
        <v>155</v>
      </c>
    </row>
    <row r="115" spans="2:6" ht="25.5">
      <c r="B115" s="18">
        <v>3</v>
      </c>
      <c r="C115" s="48" t="s">
        <v>73</v>
      </c>
      <c r="D115" s="65">
        <f>ROUND(D111*$D$83/D114,3)</f>
        <v>6.613</v>
      </c>
      <c r="E115" s="65">
        <f>ROUND(E111*$D$83/E114,3)</f>
        <v>49.984</v>
      </c>
      <c r="F115" s="66"/>
    </row>
    <row r="116" spans="2:6" ht="25.5">
      <c r="B116" s="18">
        <v>4</v>
      </c>
      <c r="C116" s="63" t="s">
        <v>74</v>
      </c>
      <c r="D116" s="65">
        <f>ROUND(D115/D82,4)</f>
        <v>0.5511</v>
      </c>
      <c r="E116" s="65">
        <f>ROUND(E115/D82,4)</f>
        <v>4.1653</v>
      </c>
      <c r="F116" s="64"/>
    </row>
    <row r="119" spans="2:6" ht="18">
      <c r="B119" s="13" t="s">
        <v>175</v>
      </c>
      <c r="C119" s="13"/>
      <c r="D119" s="13"/>
      <c r="E119" s="13"/>
      <c r="F119" s="13"/>
    </row>
    <row r="120" spans="2:6" ht="18">
      <c r="B120" s="13" t="s">
        <v>172</v>
      </c>
      <c r="C120" s="13"/>
      <c r="D120" s="13"/>
      <c r="E120" s="13"/>
      <c r="F120" s="13"/>
    </row>
    <row r="121" spans="2:6" ht="18">
      <c r="B121" s="13" t="s">
        <v>18</v>
      </c>
      <c r="C121" s="13"/>
      <c r="D121" s="13"/>
      <c r="E121" s="13"/>
      <c r="F121" s="13"/>
    </row>
    <row r="123" spans="2:6" ht="15.75">
      <c r="B123" s="1"/>
      <c r="C123" s="1"/>
      <c r="D123" s="2">
        <v>-1</v>
      </c>
      <c r="E123" s="2">
        <v>-2</v>
      </c>
      <c r="F123" s="2">
        <v>-3</v>
      </c>
    </row>
    <row r="124" spans="2:6" ht="15.75">
      <c r="B124" s="1"/>
      <c r="C124" s="1"/>
      <c r="D124" s="3" t="s">
        <v>7</v>
      </c>
      <c r="E124" s="3"/>
      <c r="F124" s="3"/>
    </row>
    <row r="125" spans="2:6" ht="15.75">
      <c r="B125" s="1" t="s">
        <v>0</v>
      </c>
      <c r="C125" s="1" t="s">
        <v>63</v>
      </c>
      <c r="D125" s="3" t="s">
        <v>64</v>
      </c>
      <c r="E125" s="47" t="s">
        <v>65</v>
      </c>
      <c r="F125" s="47" t="s">
        <v>1</v>
      </c>
    </row>
    <row r="126" spans="2:6" ht="12.75">
      <c r="B126" s="4"/>
      <c r="C126" s="5" t="s">
        <v>75</v>
      </c>
      <c r="D126" s="30"/>
      <c r="E126" s="30"/>
      <c r="F126" s="30"/>
    </row>
    <row r="127" spans="2:6" ht="12.75">
      <c r="B127" s="18">
        <v>1</v>
      </c>
      <c r="C127" s="48" t="s">
        <v>76</v>
      </c>
      <c r="D127" s="38">
        <f>ROUND(D$116*($E26/D$80)*$D$82,0)</f>
        <v>12912</v>
      </c>
      <c r="E127" s="38">
        <f>ROUND(E$116*($E19/E$80)*$D$82,0)</f>
        <v>55502</v>
      </c>
      <c r="F127" s="50">
        <f>SUM(D127:E127)</f>
        <v>68414</v>
      </c>
    </row>
    <row r="128" spans="2:6" ht="12.75">
      <c r="B128" s="4"/>
      <c r="C128" s="5" t="s">
        <v>77</v>
      </c>
      <c r="D128" s="30"/>
      <c r="E128" s="30"/>
      <c r="F128" s="30"/>
    </row>
    <row r="129" spans="2:6" ht="12.75">
      <c r="B129" s="18">
        <v>2</v>
      </c>
      <c r="C129" s="63" t="s">
        <v>78</v>
      </c>
      <c r="D129" s="38">
        <f>D111-D127</f>
        <v>19182.333</v>
      </c>
      <c r="E129" s="38">
        <f>E111-E127</f>
        <v>72875.33</v>
      </c>
      <c r="F129" s="38">
        <f>SUM(D129:E129)</f>
        <v>92057.663</v>
      </c>
    </row>
    <row r="130" spans="2:6" ht="12.75">
      <c r="B130" s="18">
        <v>3</v>
      </c>
      <c r="C130" s="48" t="s">
        <v>161</v>
      </c>
      <c r="D130" s="38">
        <f>D98</f>
        <v>3000</v>
      </c>
      <c r="E130" s="38">
        <f>E98</f>
        <v>12000</v>
      </c>
      <c r="F130" s="38">
        <f>SUM(D130:E130)</f>
        <v>15000</v>
      </c>
    </row>
    <row r="131" spans="2:6" ht="12.75">
      <c r="B131" s="18">
        <v>4</v>
      </c>
      <c r="C131" s="48" t="s">
        <v>79</v>
      </c>
      <c r="D131" s="38">
        <f>D94</f>
        <v>344</v>
      </c>
      <c r="E131" s="38">
        <f>E94</f>
        <v>1378</v>
      </c>
      <c r="F131" s="38">
        <f>SUM(D131:E131)</f>
        <v>1722</v>
      </c>
    </row>
    <row r="132" spans="2:6" ht="12.75">
      <c r="B132" s="18">
        <v>5</v>
      </c>
      <c r="C132" s="48" t="s">
        <v>80</v>
      </c>
      <c r="D132" s="38">
        <f>SUM(D129:D131)</f>
        <v>22526.333</v>
      </c>
      <c r="E132" s="38">
        <f>SUM(E129:E131)</f>
        <v>86253.33</v>
      </c>
      <c r="F132" s="38">
        <f>SUM(D132:E132)</f>
        <v>108779.663</v>
      </c>
    </row>
    <row r="133" spans="2:6" ht="3.75" customHeight="1">
      <c r="B133" s="67"/>
      <c r="C133" s="67"/>
      <c r="D133" s="67"/>
      <c r="E133" s="67"/>
      <c r="F133" s="67"/>
    </row>
    <row r="134" spans="2:6" ht="12.75">
      <c r="B134" s="18">
        <v>5</v>
      </c>
      <c r="C134" s="48" t="s">
        <v>81</v>
      </c>
      <c r="D134" s="50">
        <f>SUM(D127,D132)</f>
        <v>35438.333</v>
      </c>
      <c r="E134" s="50">
        <f>SUM(E127,E132)</f>
        <v>141755.33000000002</v>
      </c>
      <c r="F134" s="38">
        <f>SUM(D134:E134)</f>
        <v>177193.663</v>
      </c>
    </row>
    <row r="135" spans="2:6" ht="12">
      <c r="B135" s="9"/>
      <c r="C135" s="9"/>
      <c r="D135" s="9"/>
      <c r="E135" s="9"/>
      <c r="F135" s="9"/>
    </row>
    <row r="136" spans="2:6" ht="14.25">
      <c r="B136" s="68"/>
      <c r="D136" s="69"/>
      <c r="E136" s="69"/>
      <c r="F136" s="69"/>
    </row>
    <row r="137" spans="2:6" ht="14.25">
      <c r="B137" s="68"/>
      <c r="D137" s="69"/>
      <c r="E137" s="69"/>
      <c r="F137" s="69"/>
    </row>
    <row r="138" spans="2:6" ht="12.75">
      <c r="B138" s="70" t="s">
        <v>82</v>
      </c>
      <c r="C138" s="70"/>
      <c r="D138" s="70"/>
      <c r="E138" s="70"/>
      <c r="F138" s="70"/>
    </row>
    <row r="139" spans="2:6" ht="12.75">
      <c r="B139" s="70" t="s">
        <v>163</v>
      </c>
      <c r="C139" s="70"/>
      <c r="D139" s="70"/>
      <c r="E139" s="70"/>
      <c r="F139" s="70"/>
    </row>
    <row r="140" spans="2:6" ht="12.75">
      <c r="B140" s="70" t="s">
        <v>84</v>
      </c>
      <c r="C140" s="70"/>
      <c r="D140" s="70"/>
      <c r="E140" s="70"/>
      <c r="F140" s="70"/>
    </row>
    <row r="143" spans="2:6" ht="18">
      <c r="B143" s="13" t="s">
        <v>85</v>
      </c>
      <c r="C143" s="13"/>
      <c r="D143" s="13"/>
      <c r="E143" s="13"/>
      <c r="F143" s="13"/>
    </row>
    <row r="144" spans="2:6" ht="18">
      <c r="B144" s="13" t="s">
        <v>86</v>
      </c>
      <c r="C144" s="13"/>
      <c r="D144" s="13"/>
      <c r="E144" s="13"/>
      <c r="F144" s="13"/>
    </row>
    <row r="146" spans="2:6" ht="15.75">
      <c r="B146" s="1"/>
      <c r="C146" s="1"/>
      <c r="D146" s="2">
        <v>-1</v>
      </c>
      <c r="E146" s="2">
        <v>-2</v>
      </c>
      <c r="F146" s="2">
        <v>-3</v>
      </c>
    </row>
    <row r="147" spans="2:6" ht="15.75">
      <c r="B147" s="1"/>
      <c r="C147" s="1"/>
      <c r="D147" s="3" t="s">
        <v>7</v>
      </c>
      <c r="E147" s="3"/>
      <c r="F147" s="3"/>
    </row>
    <row r="148" spans="2:6" ht="15.75">
      <c r="B148" s="1" t="s">
        <v>0</v>
      </c>
      <c r="C148" s="1" t="s">
        <v>63</v>
      </c>
      <c r="D148" s="3" t="s">
        <v>64</v>
      </c>
      <c r="E148" s="47" t="s">
        <v>65</v>
      </c>
      <c r="F148" s="47" t="s">
        <v>1</v>
      </c>
    </row>
    <row r="149" spans="2:10" ht="12.75">
      <c r="B149" s="18">
        <v>1</v>
      </c>
      <c r="C149" s="48" t="s">
        <v>87</v>
      </c>
      <c r="D149" s="66">
        <f>ROUND($D81/$D80*D116,2)</f>
        <v>2.33</v>
      </c>
      <c r="E149" s="66">
        <f>ROUND($E81/$E80*E116,2)</f>
        <v>10</v>
      </c>
      <c r="F149" s="66">
        <f>SUM(D149:E149)</f>
        <v>12.33</v>
      </c>
      <c r="H149" s="71">
        <v>3.172719819716386</v>
      </c>
      <c r="I149" s="71"/>
      <c r="J149" s="71"/>
    </row>
    <row r="150" spans="2:6" ht="25.5">
      <c r="B150" s="18">
        <v>2</v>
      </c>
      <c r="C150" s="63" t="s">
        <v>88</v>
      </c>
      <c r="D150" s="65">
        <f>ROUND(D132/$D$82/(SUM(E$27:E$28)/D$80),3)</f>
        <v>0.855</v>
      </c>
      <c r="E150" s="65">
        <f>ROUND(E132/$D$82/(SUM(E$20:E$21)/E$80),3)</f>
        <v>5.791</v>
      </c>
      <c r="F150" s="64"/>
    </row>
    <row r="151" spans="2:6" ht="25.5">
      <c r="B151" s="18">
        <v>3</v>
      </c>
      <c r="C151" s="48" t="s">
        <v>89</v>
      </c>
      <c r="D151" s="65">
        <f>D150-D116</f>
        <v>0.30389999999999995</v>
      </c>
      <c r="E151" s="65">
        <f>E150-E116</f>
        <v>1.6257000000000001</v>
      </c>
      <c r="F151" s="66"/>
    </row>
    <row r="153" ht="12.75">
      <c r="B153" s="70" t="s">
        <v>90</v>
      </c>
    </row>
    <row r="156" spans="2:6" ht="18">
      <c r="B156" s="13" t="s">
        <v>174</v>
      </c>
      <c r="C156" s="13"/>
      <c r="D156" s="13"/>
      <c r="E156" s="13"/>
      <c r="F156" s="13"/>
    </row>
    <row r="157" spans="2:6" ht="18">
      <c r="B157" s="13" t="s">
        <v>177</v>
      </c>
      <c r="C157" s="13"/>
      <c r="D157" s="13"/>
      <c r="E157" s="13"/>
      <c r="F157" s="13"/>
    </row>
    <row r="158" spans="2:6" ht="15">
      <c r="B158" s="72"/>
      <c r="C158" s="72"/>
      <c r="D158" s="72"/>
      <c r="E158" s="72"/>
      <c r="F158" s="72"/>
    </row>
    <row r="159" spans="2:6" ht="15.75">
      <c r="B159" s="1"/>
      <c r="C159" s="1"/>
      <c r="D159" s="2"/>
      <c r="E159" s="2"/>
      <c r="F159" s="2">
        <v>-1</v>
      </c>
    </row>
    <row r="160" spans="2:6" ht="15.75">
      <c r="B160" s="1" t="s">
        <v>0</v>
      </c>
      <c r="C160" s="1" t="s">
        <v>92</v>
      </c>
      <c r="D160" s="1"/>
      <c r="E160" s="1" t="s">
        <v>93</v>
      </c>
      <c r="F160" s="47" t="s">
        <v>7</v>
      </c>
    </row>
    <row r="161" spans="2:6" ht="12.75">
      <c r="B161" s="18">
        <v>1</v>
      </c>
      <c r="C161" s="73" t="s">
        <v>94</v>
      </c>
      <c r="D161" s="74"/>
      <c r="E161" s="75" t="s">
        <v>95</v>
      </c>
      <c r="F161" s="42">
        <v>11944834.29289404</v>
      </c>
    </row>
    <row r="162" spans="2:6" ht="12.75">
      <c r="B162" s="18">
        <v>2</v>
      </c>
      <c r="C162" s="76" t="s">
        <v>96</v>
      </c>
      <c r="D162" s="77"/>
      <c r="E162" s="78" t="s">
        <v>97</v>
      </c>
      <c r="F162" s="19">
        <v>464563.54464285716</v>
      </c>
    </row>
    <row r="163" spans="2:6" ht="12.75">
      <c r="B163" s="18">
        <v>3</v>
      </c>
      <c r="C163" s="79" t="s">
        <v>98</v>
      </c>
      <c r="D163" s="80"/>
      <c r="E163" s="81"/>
      <c r="F163" s="82">
        <v>1.3</v>
      </c>
    </row>
    <row r="164" spans="2:6" ht="12.75">
      <c r="B164" s="18">
        <v>4</v>
      </c>
      <c r="C164" s="83" t="s">
        <v>99</v>
      </c>
      <c r="D164" s="83"/>
      <c r="E164" s="78" t="s">
        <v>97</v>
      </c>
      <c r="F164" s="19">
        <v>111131.09196428573</v>
      </c>
    </row>
    <row r="165" spans="2:6" ht="12.75">
      <c r="B165" s="18">
        <v>5</v>
      </c>
      <c r="C165" s="79" t="s">
        <v>100</v>
      </c>
      <c r="D165" s="80"/>
      <c r="E165" s="78" t="s">
        <v>97</v>
      </c>
      <c r="F165" s="23">
        <f>F162+F164</f>
        <v>575694.6366071429</v>
      </c>
    </row>
    <row r="166" spans="2:6" ht="12.75">
      <c r="B166" s="18">
        <v>6</v>
      </c>
      <c r="C166" s="83" t="s">
        <v>101</v>
      </c>
      <c r="D166" s="83"/>
      <c r="E166" s="78" t="s">
        <v>97</v>
      </c>
      <c r="F166" s="23">
        <f>F162*D82</f>
        <v>5574762.535714285</v>
      </c>
    </row>
    <row r="167" spans="2:6" ht="12.75">
      <c r="B167" s="18">
        <v>7</v>
      </c>
      <c r="C167" s="79" t="s">
        <v>102</v>
      </c>
      <c r="D167" s="80"/>
      <c r="E167" s="78" t="s">
        <v>97</v>
      </c>
      <c r="F167" s="23">
        <f>F164*D$82</f>
        <v>1333573.103571429</v>
      </c>
    </row>
    <row r="168" spans="2:6" ht="12.75">
      <c r="B168" s="18">
        <v>8</v>
      </c>
      <c r="C168" s="83" t="s">
        <v>103</v>
      </c>
      <c r="D168" s="83"/>
      <c r="E168" s="78" t="s">
        <v>97</v>
      </c>
      <c r="F168" s="23">
        <f>SUM(F166:F167)</f>
        <v>6908335.639285714</v>
      </c>
    </row>
    <row r="169" spans="2:6" ht="12.75">
      <c r="B169" s="18">
        <v>9</v>
      </c>
      <c r="C169" s="79" t="s">
        <v>104</v>
      </c>
      <c r="D169" s="80"/>
      <c r="E169" s="78" t="s">
        <v>105</v>
      </c>
      <c r="F169" s="84">
        <f>ROUND(F161/F168,2)</f>
        <v>1.73</v>
      </c>
    </row>
    <row r="170" spans="2:6" ht="12.75">
      <c r="B170" s="18">
        <v>10</v>
      </c>
      <c r="C170" s="83" t="s">
        <v>106</v>
      </c>
      <c r="D170" s="85"/>
      <c r="E170" s="78" t="s">
        <v>105</v>
      </c>
      <c r="F170" s="84">
        <f>F169*F163</f>
        <v>2.249</v>
      </c>
    </row>
    <row r="171" spans="2:6" ht="12.75">
      <c r="B171" s="86"/>
      <c r="C171" s="87"/>
      <c r="D171" s="88"/>
      <c r="E171" s="88"/>
      <c r="F171" s="89"/>
    </row>
    <row r="172" spans="2:5" ht="12.75">
      <c r="B172" s="70" t="s">
        <v>107</v>
      </c>
      <c r="D172" s="90"/>
      <c r="E172" s="90"/>
    </row>
    <row r="173" spans="2:5" ht="12.75">
      <c r="B173" s="70" t="s">
        <v>108</v>
      </c>
      <c r="D173" s="90"/>
      <c r="E173" s="90"/>
    </row>
    <row r="175" spans="3:11" ht="12">
      <c r="C175" s="22"/>
      <c r="D175" s="22"/>
      <c r="E175" s="22"/>
      <c r="F175" s="22"/>
      <c r="G175" s="22"/>
      <c r="H175" s="22"/>
      <c r="I175" s="22"/>
      <c r="J175" s="22"/>
      <c r="K175" s="22"/>
    </row>
    <row r="176" spans="2:12" ht="18">
      <c r="B176" s="13" t="s">
        <v>109</v>
      </c>
      <c r="C176" s="13"/>
      <c r="D176" s="13"/>
      <c r="E176" s="13"/>
      <c r="F176" s="13"/>
      <c r="G176" s="13"/>
      <c r="H176" s="13"/>
      <c r="I176" s="13"/>
      <c r="J176" s="13"/>
      <c r="L176" s="129" t="s">
        <v>183</v>
      </c>
    </row>
    <row r="177" spans="2:12" ht="18">
      <c r="B177" s="13" t="s">
        <v>18</v>
      </c>
      <c r="C177" s="13"/>
      <c r="D177" s="13"/>
      <c r="E177" s="13"/>
      <c r="F177" s="13"/>
      <c r="G177" s="13"/>
      <c r="H177" s="13"/>
      <c r="I177" s="13"/>
      <c r="J177" s="13"/>
      <c r="L177" s="129" t="s">
        <v>184</v>
      </c>
    </row>
    <row r="178" spans="2:10" ht="18">
      <c r="B178" s="13" t="s">
        <v>19</v>
      </c>
      <c r="C178" s="13"/>
      <c r="D178" s="13"/>
      <c r="E178" s="13"/>
      <c r="F178" s="13"/>
      <c r="G178" s="13"/>
      <c r="H178" s="13"/>
      <c r="I178" s="13"/>
      <c r="J178" s="13"/>
    </row>
    <row r="179" spans="2:10" ht="15">
      <c r="B179" s="72"/>
      <c r="C179" s="72"/>
      <c r="D179" s="72"/>
      <c r="E179" s="72"/>
      <c r="F179" s="72"/>
      <c r="G179" s="72"/>
      <c r="H179" s="72"/>
      <c r="I179" s="72"/>
      <c r="J179" s="72"/>
    </row>
    <row r="180" spans="2:10" ht="15">
      <c r="B180" s="91"/>
      <c r="C180" s="91"/>
      <c r="D180" s="2">
        <v>-1</v>
      </c>
      <c r="E180" s="2">
        <v>-2</v>
      </c>
      <c r="F180" s="2">
        <v>-3</v>
      </c>
      <c r="G180" s="2">
        <v>-4</v>
      </c>
      <c r="H180" s="2">
        <v>-5</v>
      </c>
      <c r="I180" s="2">
        <v>-6</v>
      </c>
      <c r="J180" s="2">
        <v>-7</v>
      </c>
    </row>
    <row r="181" spans="2:10" ht="15.75">
      <c r="B181" s="26"/>
      <c r="C181" s="26"/>
      <c r="D181" s="26"/>
      <c r="E181" s="27"/>
      <c r="F181" s="27"/>
      <c r="G181" s="3" t="s">
        <v>110</v>
      </c>
      <c r="H181" s="92"/>
      <c r="I181" s="92"/>
      <c r="J181" s="26"/>
    </row>
    <row r="182" spans="2:12" ht="48">
      <c r="B182" s="1" t="s">
        <v>0</v>
      </c>
      <c r="C182" s="1" t="s">
        <v>5</v>
      </c>
      <c r="D182" s="47" t="s">
        <v>111</v>
      </c>
      <c r="E182" s="47" t="s">
        <v>112</v>
      </c>
      <c r="F182" s="47" t="s">
        <v>113</v>
      </c>
      <c r="G182" s="3" t="s">
        <v>9</v>
      </c>
      <c r="H182" s="3" t="s">
        <v>10</v>
      </c>
      <c r="I182" s="47" t="s">
        <v>114</v>
      </c>
      <c r="J182" s="47" t="s">
        <v>115</v>
      </c>
      <c r="L182" t="s">
        <v>116</v>
      </c>
    </row>
    <row r="183" spans="2:10" ht="14.25">
      <c r="B183" s="93"/>
      <c r="C183" s="93" t="s">
        <v>9</v>
      </c>
      <c r="D183" s="93"/>
      <c r="E183" s="93"/>
      <c r="F183" s="93"/>
      <c r="G183" s="93"/>
      <c r="H183" s="93"/>
      <c r="I183" s="93"/>
      <c r="J183" s="93"/>
    </row>
    <row r="184" spans="2:12" ht="12.75">
      <c r="B184" s="18">
        <v>1</v>
      </c>
      <c r="C184" s="7" t="s">
        <v>117</v>
      </c>
      <c r="D184" s="61">
        <v>87150074.25964287</v>
      </c>
      <c r="E184" s="61">
        <v>0</v>
      </c>
      <c r="F184" s="50">
        <f>SUM(D184,E184)</f>
        <v>87150074.25964287</v>
      </c>
      <c r="G184" s="50">
        <v>0</v>
      </c>
      <c r="H184" s="50">
        <v>0</v>
      </c>
      <c r="I184" s="50">
        <f>-E$199*F184/F$199</f>
        <v>1824456.5001013367</v>
      </c>
      <c r="J184" s="50">
        <f>SUM(F184:I184)</f>
        <v>88974530.75974421</v>
      </c>
      <c r="K184" s="94"/>
      <c r="L184" s="95">
        <f>+J184/F184</f>
        <v>1.0209346522719627</v>
      </c>
    </row>
    <row r="185" spans="2:12" ht="12.75">
      <c r="B185" s="18">
        <v>2</v>
      </c>
      <c r="C185" s="7" t="s">
        <v>118</v>
      </c>
      <c r="D185" s="42">
        <v>4515752.52</v>
      </c>
      <c r="E185" s="42">
        <v>-1128938.13</v>
      </c>
      <c r="F185" s="38">
        <f>SUM(D185,E185)</f>
        <v>3386814.3899999997</v>
      </c>
      <c r="G185" s="38"/>
      <c r="H185" s="38"/>
      <c r="I185" s="38">
        <f>-E$199*F185/F$199</f>
        <v>70901.78156432892</v>
      </c>
      <c r="J185" s="38">
        <f>SUM(F185:I185)</f>
        <v>3457716.1715643285</v>
      </c>
      <c r="K185" s="94"/>
      <c r="L185" s="95">
        <f>+J185/F185</f>
        <v>1.0209346522719625</v>
      </c>
    </row>
    <row r="186" spans="2:12" ht="12.75">
      <c r="B186" s="18">
        <v>3</v>
      </c>
      <c r="C186" s="7" t="s">
        <v>119</v>
      </c>
      <c r="D186" s="42">
        <v>814867.6799999999</v>
      </c>
      <c r="E186" s="42">
        <v>-40743.384</v>
      </c>
      <c r="F186" s="38">
        <f>SUM(D186,E186)</f>
        <v>774124.296</v>
      </c>
      <c r="G186" s="38"/>
      <c r="H186" s="38"/>
      <c r="I186" s="38">
        <f>-E$199*F186/F$199</f>
        <v>16206.022952037803</v>
      </c>
      <c r="J186" s="38">
        <f>SUM(F186:I186)</f>
        <v>790330.3189520377</v>
      </c>
      <c r="K186" s="94"/>
      <c r="L186" s="95">
        <f>+J186/F186</f>
        <v>1.0209346522719625</v>
      </c>
    </row>
    <row r="187" spans="2:12" ht="12.75">
      <c r="B187" s="96"/>
      <c r="C187" s="97" t="s">
        <v>120</v>
      </c>
      <c r="D187" s="98">
        <v>0</v>
      </c>
      <c r="E187" s="98"/>
      <c r="F187" s="98">
        <v>0</v>
      </c>
      <c r="G187" s="98"/>
      <c r="H187" s="98"/>
      <c r="I187" s="98">
        <v>0</v>
      </c>
      <c r="J187" s="98">
        <v>0</v>
      </c>
      <c r="K187" s="94"/>
      <c r="L187" s="99" t="str">
        <f>IF(F187=0,"NA",+J187/F187)</f>
        <v>NA</v>
      </c>
    </row>
    <row r="188" spans="2:12" ht="14.25">
      <c r="B188" s="93"/>
      <c r="C188" s="93" t="s">
        <v>10</v>
      </c>
      <c r="D188" s="93"/>
      <c r="E188" s="93"/>
      <c r="F188" s="93"/>
      <c r="G188" s="93"/>
      <c r="H188" s="93"/>
      <c r="I188" s="93"/>
      <c r="J188" s="93"/>
      <c r="K188" s="94"/>
      <c r="L188" s="94"/>
    </row>
    <row r="189" spans="2:12" ht="12.75">
      <c r="B189" s="18">
        <v>4</v>
      </c>
      <c r="C189" s="7" t="s">
        <v>117</v>
      </c>
      <c r="D189" s="42">
        <v>81723598.7846266</v>
      </c>
      <c r="E189" s="42"/>
      <c r="F189" s="38">
        <f aca="true" t="shared" si="3" ref="F189:F197">SUM(D189,E189)</f>
        <v>81723598.7846266</v>
      </c>
      <c r="G189" s="38"/>
      <c r="H189" s="38"/>
      <c r="I189" s="38">
        <f>-E$199*F189/F$199</f>
        <v>1710855.1229695387</v>
      </c>
      <c r="J189" s="38">
        <f aca="true" t="shared" si="4" ref="J189:J197">SUM(F189:I189)</f>
        <v>83434453.90759614</v>
      </c>
      <c r="K189" s="94"/>
      <c r="L189" s="95">
        <f>+J189/F189</f>
        <v>1.0209346522719625</v>
      </c>
    </row>
    <row r="190" spans="2:12" ht="12.75">
      <c r="B190" s="18">
        <v>5</v>
      </c>
      <c r="C190" s="7" t="s">
        <v>118</v>
      </c>
      <c r="D190" s="42">
        <v>10460792.240565361</v>
      </c>
      <c r="E190" s="42">
        <v>-2615198.0601413404</v>
      </c>
      <c r="F190" s="38">
        <f t="shared" si="3"/>
        <v>7845594.180424022</v>
      </c>
      <c r="G190" s="38"/>
      <c r="H190" s="38"/>
      <c r="I190" s="38">
        <f>-E$199*F190/F$199</f>
        <v>164244.78603410983</v>
      </c>
      <c r="J190" s="38">
        <f t="shared" si="4"/>
        <v>8009838.966458132</v>
      </c>
      <c r="K190" s="94"/>
      <c r="L190" s="95">
        <f>+J190/F190</f>
        <v>1.0209346522719627</v>
      </c>
    </row>
    <row r="191" spans="2:12" ht="12.75">
      <c r="B191" s="18">
        <v>6</v>
      </c>
      <c r="C191" s="7" t="s">
        <v>119</v>
      </c>
      <c r="D191" s="42">
        <v>1392131.5695447868</v>
      </c>
      <c r="E191" s="42">
        <v>-69606.57847723934</v>
      </c>
      <c r="F191" s="38">
        <f t="shared" si="3"/>
        <v>1322524.9910675476</v>
      </c>
      <c r="G191" s="38"/>
      <c r="H191" s="38"/>
      <c r="I191" s="38">
        <f>-E$199*F191/F$199</f>
        <v>27686.600808979474</v>
      </c>
      <c r="J191" s="38">
        <f t="shared" si="4"/>
        <v>1350211.591876527</v>
      </c>
      <c r="K191" s="94"/>
      <c r="L191" s="95">
        <f>+J191/F191</f>
        <v>1.0209346522719625</v>
      </c>
    </row>
    <row r="192" spans="2:12" ht="12.75">
      <c r="B192" s="100"/>
      <c r="C192" s="101" t="s">
        <v>120</v>
      </c>
      <c r="D192" s="102">
        <v>0</v>
      </c>
      <c r="E192" s="102"/>
      <c r="F192" s="38">
        <f t="shared" si="3"/>
        <v>0</v>
      </c>
      <c r="G192" s="102"/>
      <c r="H192" s="102"/>
      <c r="I192" s="38">
        <f>-E$199*F192/F$199</f>
        <v>0</v>
      </c>
      <c r="J192" s="38">
        <f t="shared" si="4"/>
        <v>0</v>
      </c>
      <c r="K192" s="94"/>
      <c r="L192" s="99" t="str">
        <f>IF(F192=0,"NA",+J192/F192)</f>
        <v>NA</v>
      </c>
    </row>
    <row r="193" spans="2:12" ht="14.25">
      <c r="B193" s="93"/>
      <c r="C193" s="93" t="s">
        <v>121</v>
      </c>
      <c r="D193" s="93"/>
      <c r="E193" s="93"/>
      <c r="F193" s="93"/>
      <c r="G193" s="93"/>
      <c r="H193" s="93"/>
      <c r="I193" s="93"/>
      <c r="J193" s="93"/>
      <c r="K193" s="94"/>
      <c r="L193" s="94"/>
    </row>
    <row r="194" spans="2:12" ht="12.75">
      <c r="B194" s="18">
        <v>7</v>
      </c>
      <c r="C194" s="7" t="s">
        <v>117</v>
      </c>
      <c r="D194" s="42">
        <v>3016508.5569394636</v>
      </c>
      <c r="E194" s="42"/>
      <c r="F194" s="38">
        <f t="shared" si="3"/>
        <v>3016508.5569394636</v>
      </c>
      <c r="G194" s="38"/>
      <c r="H194" s="38"/>
      <c r="I194" s="38">
        <f>-E$199*F194/F$199</f>
        <v>63149.55771492719</v>
      </c>
      <c r="J194" s="38">
        <f t="shared" si="4"/>
        <v>3079658.1146543906</v>
      </c>
      <c r="K194" s="94"/>
      <c r="L194" s="95">
        <f>+J194/F194</f>
        <v>1.0209346522719625</v>
      </c>
    </row>
    <row r="195" spans="2:12" ht="12.75">
      <c r="B195" s="18">
        <v>8</v>
      </c>
      <c r="C195" s="7" t="s">
        <v>118</v>
      </c>
      <c r="D195" s="42">
        <v>98105.41326529298</v>
      </c>
      <c r="E195" s="42">
        <v>-24526.353316323246</v>
      </c>
      <c r="F195" s="38">
        <f t="shared" si="3"/>
        <v>73579.05994896973</v>
      </c>
      <c r="G195" s="38"/>
      <c r="H195" s="38"/>
      <c r="I195" s="38">
        <f>-E$199*F195/F$199</f>
        <v>1540.3520345295672</v>
      </c>
      <c r="J195" s="38">
        <f t="shared" si="4"/>
        <v>75119.4119834993</v>
      </c>
      <c r="K195" s="94"/>
      <c r="L195" s="95">
        <f>+J195/F195</f>
        <v>1.0209346522719627</v>
      </c>
    </row>
    <row r="196" spans="2:12" ht="12.75">
      <c r="B196" s="18">
        <v>9</v>
      </c>
      <c r="C196" s="7" t="s">
        <v>119</v>
      </c>
      <c r="D196" s="42">
        <v>937.1071200000001</v>
      </c>
      <c r="E196" s="42">
        <v>-46.85535600000001</v>
      </c>
      <c r="F196" s="38">
        <f t="shared" si="3"/>
        <v>890.2517640000001</v>
      </c>
      <c r="G196" s="38"/>
      <c r="H196" s="38"/>
      <c r="I196" s="38">
        <f>-E$199*F196/F$199</f>
        <v>18.637111113841264</v>
      </c>
      <c r="J196" s="38">
        <f t="shared" si="4"/>
        <v>908.8888751138413</v>
      </c>
      <c r="K196" s="94"/>
      <c r="L196" s="95">
        <f>+J196/F196</f>
        <v>1.0209346522719625</v>
      </c>
    </row>
    <row r="197" spans="2:11" ht="13.5" thickBot="1">
      <c r="B197" s="18"/>
      <c r="C197" s="7" t="s">
        <v>120</v>
      </c>
      <c r="D197" s="38">
        <v>0</v>
      </c>
      <c r="E197" s="38"/>
      <c r="F197" s="38">
        <f t="shared" si="3"/>
        <v>0</v>
      </c>
      <c r="G197" s="38"/>
      <c r="H197" s="38"/>
      <c r="I197" s="38">
        <f>-E$199*F197/F$199</f>
        <v>0</v>
      </c>
      <c r="J197" s="38">
        <f t="shared" si="4"/>
        <v>0</v>
      </c>
      <c r="K197" s="94"/>
    </row>
    <row r="198" spans="2:10" ht="15" thickTop="1">
      <c r="B198" s="44"/>
      <c r="C198" s="44"/>
      <c r="D198" s="44"/>
      <c r="E198" s="44"/>
      <c r="F198" s="44"/>
      <c r="G198" s="44"/>
      <c r="H198" s="44"/>
      <c r="I198" s="44"/>
      <c r="J198" s="44"/>
    </row>
    <row r="199" spans="1:11" ht="12.75">
      <c r="A199" s="22"/>
      <c r="B199" s="18">
        <v>10</v>
      </c>
      <c r="C199" s="7" t="s">
        <v>1</v>
      </c>
      <c r="D199" s="50">
        <f aca="true" t="shared" si="5" ref="D199:J199">SUM(D184:D198)</f>
        <v>189172768.1317044</v>
      </c>
      <c r="E199" s="50">
        <f t="shared" si="5"/>
        <v>-3879059.361290903</v>
      </c>
      <c r="F199" s="50">
        <f t="shared" si="5"/>
        <v>185293708.77041352</v>
      </c>
      <c r="G199" s="50">
        <f t="shared" si="5"/>
        <v>0</v>
      </c>
      <c r="H199" s="50">
        <f t="shared" si="5"/>
        <v>0</v>
      </c>
      <c r="I199" s="50">
        <f t="shared" si="5"/>
        <v>3879059.361290902</v>
      </c>
      <c r="J199" s="50">
        <f t="shared" si="5"/>
        <v>189172768.1317044</v>
      </c>
      <c r="K199" s="22"/>
    </row>
    <row r="201" spans="2:11" ht="12.75">
      <c r="B201" s="103" t="s">
        <v>122</v>
      </c>
      <c r="C201" s="104"/>
      <c r="D201" s="104"/>
      <c r="E201" s="104"/>
      <c r="F201" s="104"/>
      <c r="G201" s="104"/>
      <c r="H201" s="104"/>
      <c r="I201" s="104"/>
      <c r="J201" s="104"/>
      <c r="K201" s="104"/>
    </row>
    <row r="202" spans="2:11" ht="12.75">
      <c r="B202" s="70" t="s">
        <v>123</v>
      </c>
      <c r="C202" s="104"/>
      <c r="D202" s="104"/>
      <c r="E202" s="104"/>
      <c r="F202" s="104"/>
      <c r="G202" s="104"/>
      <c r="H202" s="104"/>
      <c r="I202" s="104"/>
      <c r="J202" s="104"/>
      <c r="K202" s="104"/>
    </row>
    <row r="203" spans="2:11" ht="12.75">
      <c r="B203" s="104" t="s">
        <v>124</v>
      </c>
      <c r="C203" s="104"/>
      <c r="D203" s="104"/>
      <c r="E203" s="104"/>
      <c r="F203" s="104"/>
      <c r="G203" s="104"/>
      <c r="H203" s="104"/>
      <c r="I203" s="104"/>
      <c r="J203" s="104"/>
      <c r="K203" s="104"/>
    </row>
    <row r="204" spans="3:11" ht="12">
      <c r="C204" s="22"/>
      <c r="D204" s="22"/>
      <c r="E204" s="22"/>
      <c r="F204" s="22"/>
      <c r="G204" s="22"/>
      <c r="H204" s="22"/>
      <c r="I204" s="22"/>
      <c r="J204" s="22"/>
      <c r="K204" s="22"/>
    </row>
    <row r="205" spans="3:10" ht="12">
      <c r="C205" s="22"/>
      <c r="D205" s="22"/>
      <c r="E205" s="22"/>
      <c r="F205" s="22"/>
      <c r="G205" s="22"/>
      <c r="H205" s="22"/>
      <c r="I205" s="22"/>
      <c r="J205" s="22"/>
    </row>
    <row r="206" spans="2:8" ht="18">
      <c r="B206" s="13" t="s">
        <v>125</v>
      </c>
      <c r="C206" s="13"/>
      <c r="D206" s="13"/>
      <c r="E206" s="13"/>
      <c r="F206" s="13"/>
      <c r="G206" s="13"/>
      <c r="H206" s="13"/>
    </row>
    <row r="207" spans="2:8" ht="18">
      <c r="B207" s="13" t="s">
        <v>19</v>
      </c>
      <c r="C207" s="13"/>
      <c r="D207" s="13"/>
      <c r="E207" s="13"/>
      <c r="F207" s="13"/>
      <c r="G207" s="13"/>
      <c r="H207" s="13"/>
    </row>
    <row r="208" spans="2:7" ht="15">
      <c r="B208" s="25"/>
      <c r="C208" s="25"/>
      <c r="D208" s="25"/>
      <c r="E208" s="25"/>
      <c r="F208" s="25"/>
      <c r="G208" s="25"/>
    </row>
    <row r="209" spans="2:8" ht="15">
      <c r="B209" s="91"/>
      <c r="C209" s="91"/>
      <c r="D209" s="2">
        <v>-1</v>
      </c>
      <c r="E209" s="2">
        <v>-2</v>
      </c>
      <c r="F209" s="2">
        <v>-3</v>
      </c>
      <c r="G209" s="2">
        <v>-4</v>
      </c>
      <c r="H209" s="2">
        <v>-5</v>
      </c>
    </row>
    <row r="210" spans="2:8" ht="48">
      <c r="B210" s="1" t="s">
        <v>0</v>
      </c>
      <c r="C210" s="1" t="s">
        <v>126</v>
      </c>
      <c r="D210" s="47" t="s">
        <v>127</v>
      </c>
      <c r="E210" s="47" t="s">
        <v>116</v>
      </c>
      <c r="F210" s="47" t="s">
        <v>127</v>
      </c>
      <c r="G210" s="47" t="s">
        <v>128</v>
      </c>
      <c r="H210" s="47" t="s">
        <v>129</v>
      </c>
    </row>
    <row r="211" spans="2:8" ht="12.75">
      <c r="B211" s="4"/>
      <c r="C211" s="29" t="s">
        <v>130</v>
      </c>
      <c r="D211" s="30"/>
      <c r="E211" s="30"/>
      <c r="F211" s="30"/>
      <c r="G211" s="30"/>
      <c r="H211" s="30"/>
    </row>
    <row r="212" spans="2:11" ht="12.75">
      <c r="B212" s="18">
        <v>1</v>
      </c>
      <c r="C212" s="7" t="s">
        <v>9</v>
      </c>
      <c r="D212" s="66">
        <f>+F169</f>
        <v>1.73</v>
      </c>
      <c r="E212" s="66">
        <f>+$L$184</f>
        <v>1.0209346522719627</v>
      </c>
      <c r="F212" s="66">
        <f>+D212*E212</f>
        <v>1.7662169484304955</v>
      </c>
      <c r="G212" s="65">
        <v>1.0617296</v>
      </c>
      <c r="H212" s="66">
        <f>+D212*E212*G212</f>
        <v>1.8752448141703306</v>
      </c>
      <c r="K212" s="105"/>
    </row>
    <row r="213" spans="2:11" ht="12.75">
      <c r="B213" s="18">
        <v>2</v>
      </c>
      <c r="C213" s="7" t="s">
        <v>10</v>
      </c>
      <c r="D213" s="64">
        <f>F170</f>
        <v>2.249</v>
      </c>
      <c r="E213" s="64">
        <f>+$L$184</f>
        <v>1.0209346522719627</v>
      </c>
      <c r="F213" s="64">
        <f>+D213*E213</f>
        <v>2.296082032959644</v>
      </c>
      <c r="G213" s="65">
        <v>1.0617296</v>
      </c>
      <c r="H213" s="64">
        <f>+D213*E213*G213</f>
        <v>2.4378182584214296</v>
      </c>
      <c r="K213" s="105"/>
    </row>
    <row r="214" spans="2:11" ht="12.75">
      <c r="B214" s="18">
        <v>3</v>
      </c>
      <c r="C214" s="7" t="s">
        <v>121</v>
      </c>
      <c r="D214" s="64">
        <f>+D213</f>
        <v>2.249</v>
      </c>
      <c r="E214" s="64">
        <f>+$L$184</f>
        <v>1.0209346522719627</v>
      </c>
      <c r="F214" s="64">
        <f>+D214*E214</f>
        <v>2.296082032959644</v>
      </c>
      <c r="G214" s="65">
        <v>1.0617296</v>
      </c>
      <c r="H214" s="64">
        <f>+D214*E214*G214</f>
        <v>2.4378182584214296</v>
      </c>
      <c r="K214" s="105"/>
    </row>
    <row r="215" spans="2:8" ht="12.75">
      <c r="B215" s="4"/>
      <c r="C215" s="29" t="s">
        <v>131</v>
      </c>
      <c r="D215" s="30"/>
      <c r="E215" s="30"/>
      <c r="F215" s="30"/>
      <c r="G215" s="30"/>
      <c r="H215" s="30"/>
    </row>
    <row r="216" spans="2:8" ht="12.75">
      <c r="B216" s="18">
        <v>4</v>
      </c>
      <c r="C216" s="7" t="s">
        <v>9</v>
      </c>
      <c r="D216" s="64">
        <f>+F149</f>
        <v>12.33</v>
      </c>
      <c r="E216" s="64">
        <f>+$L$184</f>
        <v>1.0209346522719627</v>
      </c>
      <c r="F216" s="64">
        <f>+D216*E216</f>
        <v>12.5881242625133</v>
      </c>
      <c r="G216" s="65">
        <f>G$212</f>
        <v>1.0617296</v>
      </c>
      <c r="H216" s="64">
        <f>+D216*E216*G216</f>
        <v>13.365184137988543</v>
      </c>
    </row>
    <row r="217" spans="2:8" ht="12.75">
      <c r="B217" s="18"/>
      <c r="C217" s="7" t="s">
        <v>10</v>
      </c>
      <c r="D217" s="106"/>
      <c r="E217" s="106"/>
      <c r="F217" s="106"/>
      <c r="G217" s="107"/>
      <c r="H217" s="106"/>
    </row>
    <row r="218" spans="2:8" ht="12.75">
      <c r="B218" s="18">
        <v>5</v>
      </c>
      <c r="C218" s="7" t="s">
        <v>132</v>
      </c>
      <c r="D218" s="64">
        <f>+E150</f>
        <v>5.791</v>
      </c>
      <c r="E218" s="64">
        <f>+$L$184</f>
        <v>1.0209346522719627</v>
      </c>
      <c r="F218" s="64">
        <f>+D218*E218</f>
        <v>5.912232571306936</v>
      </c>
      <c r="G218" s="65">
        <f>G$212</f>
        <v>1.0617296</v>
      </c>
      <c r="H218" s="64">
        <f>+D218*E218*G218</f>
        <v>6.277192323040685</v>
      </c>
    </row>
    <row r="219" spans="2:8" ht="12.75">
      <c r="B219" s="18">
        <v>6</v>
      </c>
      <c r="C219" s="7" t="s">
        <v>133</v>
      </c>
      <c r="D219" s="64">
        <f>+D150</f>
        <v>0.855</v>
      </c>
      <c r="E219" s="64">
        <f>+$L$184</f>
        <v>1.0209346522719627</v>
      </c>
      <c r="F219" s="64">
        <f>+D219*E219</f>
        <v>0.8728991276925281</v>
      </c>
      <c r="G219" s="65">
        <f>G$212</f>
        <v>1.0617296</v>
      </c>
      <c r="H219" s="64">
        <f>+D219*E219*G219</f>
        <v>0.9267828416853369</v>
      </c>
    </row>
    <row r="220" spans="2:8" ht="12.75">
      <c r="B220" s="18"/>
      <c r="C220" s="7" t="s">
        <v>121</v>
      </c>
      <c r="D220" s="106"/>
      <c r="E220" s="106"/>
      <c r="F220" s="106"/>
      <c r="G220" s="107"/>
      <c r="H220" s="106"/>
    </row>
    <row r="221" spans="2:8" ht="12.75">
      <c r="B221" s="18">
        <v>7</v>
      </c>
      <c r="C221" s="7" t="s">
        <v>132</v>
      </c>
      <c r="D221" s="64">
        <f>+D218</f>
        <v>5.791</v>
      </c>
      <c r="E221" s="64">
        <f>+$L$184</f>
        <v>1.0209346522719627</v>
      </c>
      <c r="F221" s="64">
        <f>+D221*E221</f>
        <v>5.912232571306936</v>
      </c>
      <c r="G221" s="65">
        <f>G$212</f>
        <v>1.0617296</v>
      </c>
      <c r="H221" s="64">
        <f>+D221*E221*G221</f>
        <v>6.277192323040685</v>
      </c>
    </row>
    <row r="222" spans="2:8" ht="12.75">
      <c r="B222" s="18">
        <v>8</v>
      </c>
      <c r="C222" s="7" t="s">
        <v>133</v>
      </c>
      <c r="D222" s="64">
        <f>+D219</f>
        <v>0.855</v>
      </c>
      <c r="E222" s="64">
        <f>+$L$184</f>
        <v>1.0209346522719627</v>
      </c>
      <c r="F222" s="64">
        <f>+D222*E222</f>
        <v>0.8728991276925281</v>
      </c>
      <c r="G222" s="65">
        <f>G$212</f>
        <v>1.0617296</v>
      </c>
      <c r="H222" s="64">
        <f>+D222*E222*G222</f>
        <v>0.9267828416853369</v>
      </c>
    </row>
    <row r="224" spans="2:10" ht="12.75">
      <c r="B224" s="103" t="s">
        <v>122</v>
      </c>
      <c r="C224" s="104" t="s">
        <v>134</v>
      </c>
      <c r="D224" s="104"/>
      <c r="E224" s="104"/>
      <c r="F224" s="104"/>
      <c r="G224" s="104"/>
      <c r="H224" s="104"/>
      <c r="I224" s="104"/>
      <c r="J224" s="104"/>
    </row>
    <row r="225" spans="2:10" ht="12.75">
      <c r="B225" s="103"/>
      <c r="C225" s="104"/>
      <c r="D225" s="104"/>
      <c r="E225" s="104"/>
      <c r="F225" s="104"/>
      <c r="G225" s="104"/>
      <c r="H225" s="104"/>
      <c r="I225" s="104"/>
      <c r="J225" s="104"/>
    </row>
    <row r="226" spans="2:10" ht="12.75">
      <c r="B226" s="103"/>
      <c r="C226" s="104"/>
      <c r="D226" s="104"/>
      <c r="E226" s="104"/>
      <c r="F226" s="104"/>
      <c r="G226" s="104"/>
      <c r="H226" s="104"/>
      <c r="I226" s="104"/>
      <c r="J226" s="104"/>
    </row>
    <row r="227" spans="2:10" ht="15">
      <c r="B227" s="108" t="s">
        <v>135</v>
      </c>
      <c r="C227" s="108"/>
      <c r="D227" s="108"/>
      <c r="E227" s="108"/>
      <c r="F227" s="108"/>
      <c r="G227" s="104"/>
      <c r="H227" s="104"/>
      <c r="I227" s="104"/>
      <c r="J227" s="104"/>
    </row>
    <row r="228" spans="2:10" ht="15">
      <c r="B228" s="108" t="s">
        <v>136</v>
      </c>
      <c r="C228" s="108"/>
      <c r="D228" s="108"/>
      <c r="E228" s="108"/>
      <c r="F228" s="108"/>
      <c r="G228" s="104"/>
      <c r="H228" s="104"/>
      <c r="I228" s="104"/>
      <c r="J228" s="104"/>
    </row>
    <row r="229" spans="2:10" ht="15">
      <c r="B229" s="72"/>
      <c r="C229" s="72"/>
      <c r="D229" s="72"/>
      <c r="E229" s="72"/>
      <c r="F229" s="104"/>
      <c r="G229" s="104"/>
      <c r="H229" s="104"/>
      <c r="I229" s="104"/>
      <c r="J229" s="104"/>
    </row>
    <row r="230" spans="2:10" ht="15">
      <c r="B230" s="91"/>
      <c r="C230" s="91"/>
      <c r="D230" s="2">
        <v>-1</v>
      </c>
      <c r="E230" s="2">
        <v>-2</v>
      </c>
      <c r="F230" s="2">
        <v>-3</v>
      </c>
      <c r="G230" s="104"/>
      <c r="H230" s="104"/>
      <c r="I230" s="104"/>
      <c r="J230" s="104"/>
    </row>
    <row r="231" spans="2:10" ht="48">
      <c r="B231" s="1" t="s">
        <v>0</v>
      </c>
      <c r="C231" s="1" t="s">
        <v>92</v>
      </c>
      <c r="D231" s="47" t="s">
        <v>137</v>
      </c>
      <c r="E231" s="47" t="s">
        <v>138</v>
      </c>
      <c r="F231" s="47" t="s">
        <v>139</v>
      </c>
      <c r="G231" s="104"/>
      <c r="H231" s="104"/>
      <c r="I231" s="104"/>
      <c r="J231" s="104"/>
    </row>
    <row r="232" spans="2:10" ht="12.75">
      <c r="B232" s="5" t="s">
        <v>140</v>
      </c>
      <c r="C232" s="4"/>
      <c r="D232" s="4"/>
      <c r="E232" s="4"/>
      <c r="F232" s="4"/>
      <c r="G232" s="104"/>
      <c r="H232" s="104"/>
      <c r="I232" s="104"/>
      <c r="J232" s="104"/>
    </row>
    <row r="233" spans="2:10" ht="12.75">
      <c r="B233" s="18">
        <v>1</v>
      </c>
      <c r="C233" s="109" t="s">
        <v>141</v>
      </c>
      <c r="D233" s="66">
        <f>H216</f>
        <v>13.365184137988543</v>
      </c>
      <c r="E233" s="66">
        <f>D233</f>
        <v>13.365184137988543</v>
      </c>
      <c r="F233" s="66"/>
      <c r="G233" s="104"/>
      <c r="H233" s="104"/>
      <c r="I233" s="104"/>
      <c r="J233" s="104"/>
    </row>
    <row r="234" spans="2:10" ht="12.75">
      <c r="B234" s="5" t="s">
        <v>142</v>
      </c>
      <c r="C234" s="4"/>
      <c r="D234" s="4"/>
      <c r="E234" s="4"/>
      <c r="F234" s="4"/>
      <c r="G234" s="104"/>
      <c r="H234" s="104"/>
      <c r="I234" s="104"/>
      <c r="J234" s="104"/>
    </row>
    <row r="235" spans="2:10" ht="12.75">
      <c r="B235" s="18">
        <v>2</v>
      </c>
      <c r="C235" s="109" t="s">
        <v>143</v>
      </c>
      <c r="D235" s="66">
        <f>H212</f>
        <v>1.8752448141703306</v>
      </c>
      <c r="E235" s="66">
        <f>D235</f>
        <v>1.8752448141703306</v>
      </c>
      <c r="F235" s="66"/>
      <c r="G235" s="104"/>
      <c r="H235" s="104"/>
      <c r="I235" s="104"/>
      <c r="J235" s="104"/>
    </row>
    <row r="236" spans="2:10" ht="12.75">
      <c r="B236" s="110"/>
      <c r="C236" s="111"/>
      <c r="D236" s="112"/>
      <c r="E236" s="113"/>
      <c r="F236" s="104"/>
      <c r="G236" s="104"/>
      <c r="H236" s="104"/>
      <c r="I236" s="104"/>
      <c r="J236" s="104"/>
    </row>
    <row r="237" spans="2:10" ht="12.75">
      <c r="B237" s="103"/>
      <c r="C237" s="104"/>
      <c r="D237" s="104"/>
      <c r="E237" s="104"/>
      <c r="F237" s="104"/>
      <c r="G237" s="104"/>
      <c r="H237" s="104"/>
      <c r="I237" s="104"/>
      <c r="J237" s="104"/>
    </row>
    <row r="238" spans="2:10" ht="15">
      <c r="B238" s="108" t="s">
        <v>144</v>
      </c>
      <c r="C238" s="108"/>
      <c r="D238" s="108"/>
      <c r="E238" s="108"/>
      <c r="F238" s="108"/>
      <c r="G238" s="104"/>
      <c r="H238" s="104"/>
      <c r="I238" s="104"/>
      <c r="J238" s="104"/>
    </row>
    <row r="239" spans="2:10" ht="15">
      <c r="B239" s="108" t="s">
        <v>145</v>
      </c>
      <c r="C239" s="108"/>
      <c r="D239" s="108"/>
      <c r="E239" s="108"/>
      <c r="F239" s="108"/>
      <c r="G239" s="104"/>
      <c r="H239" s="104"/>
      <c r="I239" s="104"/>
      <c r="J239" s="104"/>
    </row>
    <row r="240" spans="2:10" ht="15">
      <c r="B240" s="72"/>
      <c r="C240" s="72"/>
      <c r="D240" s="72"/>
      <c r="E240" s="72"/>
      <c r="F240" s="104"/>
      <c r="G240" s="104"/>
      <c r="H240" s="104"/>
      <c r="I240" s="104"/>
      <c r="J240" s="104"/>
    </row>
    <row r="241" spans="2:10" ht="15">
      <c r="B241" s="91"/>
      <c r="C241" s="91"/>
      <c r="D241" s="2">
        <v>-1</v>
      </c>
      <c r="E241" s="2">
        <v>-2</v>
      </c>
      <c r="F241" s="2">
        <v>-3</v>
      </c>
      <c r="G241" s="104"/>
      <c r="H241" s="104"/>
      <c r="I241" s="104"/>
      <c r="J241" s="104"/>
    </row>
    <row r="242" spans="2:10" ht="48">
      <c r="B242" s="1" t="s">
        <v>0</v>
      </c>
      <c r="C242" s="1" t="s">
        <v>92</v>
      </c>
      <c r="D242" s="47" t="s">
        <v>137</v>
      </c>
      <c r="E242" s="47" t="s">
        <v>137</v>
      </c>
      <c r="F242" s="47" t="s">
        <v>138</v>
      </c>
      <c r="G242" s="104"/>
      <c r="H242" s="104"/>
      <c r="I242" s="104"/>
      <c r="J242" s="104"/>
    </row>
    <row r="243" spans="2:10" ht="12.75">
      <c r="B243" s="5" t="s">
        <v>140</v>
      </c>
      <c r="C243" s="5"/>
      <c r="D243" s="5"/>
      <c r="E243" s="5"/>
      <c r="F243" s="5"/>
      <c r="G243" s="104"/>
      <c r="H243" s="104"/>
      <c r="I243" s="104"/>
      <c r="J243" s="104"/>
    </row>
    <row r="244" spans="2:10" ht="12.75">
      <c r="B244" s="18">
        <v>1</v>
      </c>
      <c r="C244" s="7" t="s">
        <v>146</v>
      </c>
      <c r="D244" s="66">
        <f>D233</f>
        <v>13.365184137988543</v>
      </c>
      <c r="E244" s="66">
        <f>D244</f>
        <v>13.365184137988543</v>
      </c>
      <c r="F244" s="66"/>
      <c r="G244" s="104"/>
      <c r="H244" s="114"/>
      <c r="I244" s="104"/>
      <c r="J244" s="104"/>
    </row>
    <row r="245" spans="2:10" ht="12.75">
      <c r="B245" s="18">
        <v>2</v>
      </c>
      <c r="C245" s="7" t="s">
        <v>147</v>
      </c>
      <c r="D245" s="65">
        <f>H219</f>
        <v>0.9267828416853369</v>
      </c>
      <c r="E245" s="65">
        <f>D245</f>
        <v>0.9267828416853369</v>
      </c>
      <c r="F245" s="65"/>
      <c r="G245" s="104"/>
      <c r="H245" s="114"/>
      <c r="I245" s="104"/>
      <c r="J245" s="104"/>
    </row>
    <row r="246" spans="2:10" ht="12.75">
      <c r="B246" s="18">
        <v>3</v>
      </c>
      <c r="C246" s="7" t="s">
        <v>148</v>
      </c>
      <c r="D246" s="65">
        <f>H218</f>
        <v>6.277192323040685</v>
      </c>
      <c r="E246" s="65">
        <f>D246</f>
        <v>6.277192323040685</v>
      </c>
      <c r="F246" s="65"/>
      <c r="G246" s="104"/>
      <c r="H246" s="114"/>
      <c r="I246" s="104"/>
      <c r="J246" s="104"/>
    </row>
    <row r="247" spans="2:10" ht="12.75">
      <c r="B247" s="5" t="s">
        <v>142</v>
      </c>
      <c r="C247" s="4"/>
      <c r="D247" s="4"/>
      <c r="E247" s="4"/>
      <c r="F247" s="4"/>
      <c r="G247" s="104"/>
      <c r="H247" s="114"/>
      <c r="I247" s="104"/>
      <c r="J247" s="104"/>
    </row>
    <row r="248" spans="2:10" ht="12.75">
      <c r="B248" s="18">
        <v>4</v>
      </c>
      <c r="C248" s="7" t="s">
        <v>143</v>
      </c>
      <c r="D248" s="66">
        <f>H213</f>
        <v>2.4378182584214296</v>
      </c>
      <c r="E248" s="66">
        <f>D248</f>
        <v>2.4378182584214296</v>
      </c>
      <c r="F248" s="66"/>
      <c r="G248" s="104"/>
      <c r="H248" s="104"/>
      <c r="I248" s="104"/>
      <c r="J248" s="104"/>
    </row>
    <row r="255" spans="2:6" ht="15">
      <c r="B255" s="108" t="s">
        <v>164</v>
      </c>
      <c r="C255" s="108"/>
      <c r="D255" s="108"/>
      <c r="E255" s="108"/>
      <c r="F255" s="108"/>
    </row>
    <row r="256" spans="2:6" ht="30.75">
      <c r="B256" s="121" t="s">
        <v>165</v>
      </c>
      <c r="C256" s="121"/>
      <c r="D256" s="121"/>
      <c r="E256" s="121"/>
      <c r="F256" s="121"/>
    </row>
    <row r="257" spans="2:6" ht="49.5">
      <c r="B257" s="24"/>
      <c r="C257" s="24"/>
      <c r="D257" s="24" t="s">
        <v>166</v>
      </c>
      <c r="E257" s="122" t="s">
        <v>167</v>
      </c>
      <c r="F257" s="122" t="s">
        <v>168</v>
      </c>
    </row>
    <row r="258" spans="2:6" ht="12.75">
      <c r="B258" s="24"/>
      <c r="C258" s="7" t="s">
        <v>147</v>
      </c>
      <c r="D258" s="123">
        <f>SWCOS!D237</f>
        <v>0.7782807957076864</v>
      </c>
      <c r="E258" s="123">
        <f>'SWCOS non res credits'!D239</f>
        <v>0.8769208408461258</v>
      </c>
      <c r="F258" s="123">
        <f>D245</f>
        <v>0.9267828416853369</v>
      </c>
    </row>
    <row r="259" spans="2:6" ht="12.75">
      <c r="B259" s="24"/>
      <c r="C259" s="7" t="s">
        <v>148</v>
      </c>
      <c r="D259" s="123">
        <f>SWCOS!D238</f>
        <v>5.492407788093101</v>
      </c>
      <c r="E259" s="123">
        <f>'SWCOS non res credits'!D240</f>
        <v>5.898891490586671</v>
      </c>
      <c r="F259" s="123">
        <f>D246</f>
        <v>6.277192323040685</v>
      </c>
    </row>
    <row r="260" spans="2:6" ht="12">
      <c r="B260" s="24"/>
      <c r="C260" s="24"/>
      <c r="D260" s="24"/>
      <c r="E260" s="24"/>
      <c r="F260" s="24"/>
    </row>
    <row r="261" spans="2:6" ht="12">
      <c r="B261" s="24"/>
      <c r="C261" s="24"/>
      <c r="D261" s="24"/>
      <c r="E261" s="24" t="s">
        <v>169</v>
      </c>
      <c r="F261" s="24" t="s">
        <v>169</v>
      </c>
    </row>
    <row r="262" spans="2:6" ht="12.75">
      <c r="B262" s="24"/>
      <c r="C262" s="7" t="s">
        <v>147</v>
      </c>
      <c r="D262" s="24"/>
      <c r="E262" s="124">
        <f>E258-D258</f>
        <v>0.09864004513843938</v>
      </c>
      <c r="F262" s="124">
        <f>F258-D258</f>
        <v>0.1485020459776505</v>
      </c>
    </row>
    <row r="263" spans="2:6" ht="12.75">
      <c r="B263" s="24"/>
      <c r="C263" s="7" t="s">
        <v>148</v>
      </c>
      <c r="D263" s="24"/>
      <c r="E263" s="124">
        <f>E259-D259</f>
        <v>0.4064837024935697</v>
      </c>
      <c r="F263" s="124">
        <f>F259-D259</f>
        <v>0.7847845349475842</v>
      </c>
    </row>
    <row r="264" spans="2:6" ht="12">
      <c r="B264" s="24"/>
      <c r="C264" s="24"/>
      <c r="D264" s="24"/>
      <c r="E264" s="24"/>
      <c r="F264" s="24"/>
    </row>
    <row r="265" spans="2:6" ht="12">
      <c r="B265" s="24"/>
      <c r="C265" s="24"/>
      <c r="D265" s="24"/>
      <c r="E265" s="24" t="s">
        <v>170</v>
      </c>
      <c r="F265" s="24" t="s">
        <v>170</v>
      </c>
    </row>
    <row r="266" spans="2:6" ht="12.75">
      <c r="B266" s="24"/>
      <c r="C266" s="7" t="s">
        <v>147</v>
      </c>
      <c r="D266" s="24"/>
      <c r="E266" s="125">
        <f>E262/$D258</f>
        <v>0.12674094707520894</v>
      </c>
      <c r="F266" s="125">
        <f>F262/$D258</f>
        <v>0.19080779944289697</v>
      </c>
    </row>
    <row r="267" spans="2:6" ht="12.75">
      <c r="B267" s="24"/>
      <c r="C267" s="7" t="s">
        <v>148</v>
      </c>
      <c r="D267" s="24"/>
      <c r="E267" s="125">
        <f>E263/$D259</f>
        <v>0.07400828892836014</v>
      </c>
      <c r="F267" s="125">
        <f>F263/$D259</f>
        <v>0.14288533649102048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Merritt, Brian L.</dc:creator>
  <cp:keywords/>
  <dc:description/>
  <cp:lastModifiedBy>BV</cp:lastModifiedBy>
  <dcterms:created xsi:type="dcterms:W3CDTF">2022-07-01T20:38:42Z</dcterms:created>
  <dcterms:modified xsi:type="dcterms:W3CDTF">2023-03-14T17:18:03Z</dcterms:modified>
  <cp:category/>
  <cp:version/>
  <cp:contentType/>
  <cp:contentStatus/>
</cp:coreProperties>
</file>