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II/"/>
    </mc:Choice>
  </mc:AlternateContent>
  <xr:revisionPtr revIDLastSave="3" documentId="8_{E2C2294E-E227-4699-AF8F-8C75BC51DBC2}" xr6:coauthVersionLast="47" xr6:coauthVersionMax="47" xr10:uidLastSave="{3757E4C8-EA97-4DE9-962B-2E6DE686C50E}"/>
  <bookViews>
    <workbookView xWindow="21480" yWindow="-120" windowWidth="21840" windowHeight="13140" firstSheet="3" activeTab="4" xr2:uid="{00000000-000D-0000-FFFF-FFFF00000000}"/>
  </bookViews>
  <sheets>
    <sheet name="OM Adj 1" sheetId="5" r:id="rId1"/>
    <sheet name="OM Adj 2" sheetId="8" r:id="rId2"/>
    <sheet name="OM Adj 3" sheetId="12" r:id="rId3"/>
    <sheet name="OM Adj 4" sheetId="10" r:id="rId4"/>
    <sheet name="OM Adj 5" sheetId="2" r:id="rId5"/>
    <sheet name="OM Adj 6" sheetId="16" r:id="rId6"/>
    <sheet name="OM Adj 7" sheetId="17" r:id="rId7"/>
    <sheet name="OM Adj 8" sheetId="18" r:id="rId8"/>
    <sheet name="OM Adj 9" sheetId="19" r:id="rId9"/>
    <sheet name="OM Adj 10" sheetId="13" r:id="rId10"/>
    <sheet name="OM Adj 11" sheetId="15" r:id="rId11"/>
    <sheet name="Pension &amp; Fringes Ratio" sheetId="3" r:id="rId12"/>
    <sheet name="TOTAL" sheetId="11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3" l="1"/>
  <c r="T34" i="13"/>
  <c r="S34" i="13"/>
  <c r="R34" i="13"/>
  <c r="Q34" i="13"/>
  <c r="P34" i="13"/>
  <c r="O34" i="13"/>
  <c r="U22" i="2"/>
  <c r="T22" i="2"/>
  <c r="S22" i="2"/>
  <c r="R22" i="2"/>
  <c r="Q22" i="2"/>
  <c r="P22" i="2"/>
  <c r="O22" i="2"/>
  <c r="P34" i="16"/>
  <c r="Q34" i="16"/>
  <c r="R34" i="16"/>
  <c r="S34" i="16"/>
  <c r="T34" i="16"/>
  <c r="U34" i="16"/>
  <c r="O34" i="16"/>
  <c r="O20" i="2"/>
  <c r="N1" i="13"/>
  <c r="N1" i="19"/>
  <c r="N1" i="18"/>
  <c r="N1" i="17"/>
  <c r="N1" i="16"/>
  <c r="N1" i="2"/>
  <c r="N1" i="10"/>
  <c r="N1" i="12"/>
  <c r="N1" i="8"/>
  <c r="N1" i="5"/>
  <c r="F10" i="5"/>
  <c r="E10" i="5"/>
  <c r="C7" i="11"/>
  <c r="I12" i="16" l="1"/>
  <c r="H11" i="16"/>
  <c r="G10" i="16"/>
  <c r="D30" i="16" l="1"/>
  <c r="E30" i="16"/>
  <c r="F30" i="16"/>
  <c r="G30" i="16"/>
  <c r="H30" i="16"/>
  <c r="I30" i="16"/>
  <c r="C30" i="16"/>
  <c r="E7" i="16"/>
  <c r="F7" i="16" s="1"/>
  <c r="G7" i="16" s="1"/>
  <c r="H7" i="16" s="1"/>
  <c r="I7" i="16" s="1"/>
  <c r="D7" i="17"/>
  <c r="E7" i="17" s="1"/>
  <c r="F7" i="17" s="1"/>
  <c r="G7" i="17" s="1"/>
  <c r="H7" i="17" s="1"/>
  <c r="I7" i="17" s="1"/>
  <c r="C7" i="17"/>
  <c r="G32" i="16" l="1"/>
  <c r="G34" i="16" s="1"/>
  <c r="E28" i="3"/>
  <c r="E9" i="3" l="1"/>
  <c r="F9" i="3"/>
  <c r="O30" i="19"/>
  <c r="O26" i="18"/>
  <c r="C23" i="19"/>
  <c r="F15" i="19"/>
  <c r="G15" i="19" s="1"/>
  <c r="H15" i="19" s="1"/>
  <c r="I15" i="19" s="1"/>
  <c r="F16" i="19"/>
  <c r="G16" i="19" s="1"/>
  <c r="H16" i="19" s="1"/>
  <c r="I16" i="19" s="1"/>
  <c r="F14" i="19"/>
  <c r="G14" i="19" s="1"/>
  <c r="H14" i="19" s="1"/>
  <c r="I14" i="19" s="1"/>
  <c r="I11" i="19" l="1"/>
  <c r="I22" i="19" s="1"/>
  <c r="H11" i="19"/>
  <c r="H22" i="19" s="1"/>
  <c r="G11" i="19"/>
  <c r="G22" i="19" s="1"/>
  <c r="F11" i="19"/>
  <c r="F22" i="19" s="1"/>
  <c r="E11" i="19"/>
  <c r="E22" i="19" s="1"/>
  <c r="Q23" i="19" s="1"/>
  <c r="D11" i="19"/>
  <c r="D22" i="19" s="1"/>
  <c r="P23" i="19" s="1"/>
  <c r="I10" i="19"/>
  <c r="I21" i="19" s="1"/>
  <c r="U22" i="19" s="1"/>
  <c r="H10" i="19"/>
  <c r="H21" i="19" s="1"/>
  <c r="T22" i="19" s="1"/>
  <c r="G10" i="19"/>
  <c r="G21" i="19" s="1"/>
  <c r="S22" i="19" s="1"/>
  <c r="F10" i="19"/>
  <c r="F21" i="19" s="1"/>
  <c r="R22" i="19" s="1"/>
  <c r="E10" i="19"/>
  <c r="E21" i="19" s="1"/>
  <c r="Q22" i="19" s="1"/>
  <c r="D10" i="19"/>
  <c r="D21" i="19" s="1"/>
  <c r="P22" i="19" s="1"/>
  <c r="D9" i="19"/>
  <c r="D20" i="19" s="1"/>
  <c r="A7" i="19"/>
  <c r="A8" i="19" l="1"/>
  <c r="A9" i="19" s="1"/>
  <c r="A10" i="19" s="1"/>
  <c r="A11" i="19" s="1"/>
  <c r="D23" i="19"/>
  <c r="P21" i="19"/>
  <c r="R23" i="19"/>
  <c r="S23" i="19"/>
  <c r="T23" i="19"/>
  <c r="U23" i="19"/>
  <c r="F6" i="12" l="1"/>
  <c r="F7" i="8"/>
  <c r="O19" i="10" l="1"/>
  <c r="E10" i="2"/>
  <c r="F10" i="2" s="1"/>
  <c r="G10" i="2" s="1"/>
  <c r="H10" i="2" s="1"/>
  <c r="I10" i="2" s="1"/>
  <c r="F10" i="10"/>
  <c r="G10" i="10" s="1"/>
  <c r="H10" i="10" s="1"/>
  <c r="F11" i="10"/>
  <c r="G11" i="10" s="1"/>
  <c r="H11" i="10" s="1"/>
  <c r="C17" i="10"/>
  <c r="C16" i="12"/>
  <c r="C16" i="10"/>
  <c r="C15" i="10"/>
  <c r="C14" i="10"/>
  <c r="B16" i="10"/>
  <c r="B15" i="10"/>
  <c r="B14" i="10"/>
  <c r="D12" i="10"/>
  <c r="E12" i="10"/>
  <c r="C12" i="10"/>
  <c r="B21" i="12"/>
  <c r="B20" i="12"/>
  <c r="B19" i="12"/>
  <c r="B18" i="12"/>
  <c r="B17" i="12"/>
  <c r="B16" i="12"/>
  <c r="C21" i="12"/>
  <c r="O21" i="12" s="1"/>
  <c r="C20" i="12"/>
  <c r="O20" i="12" s="1"/>
  <c r="C19" i="12"/>
  <c r="O19" i="12" s="1"/>
  <c r="C18" i="12"/>
  <c r="C17" i="12"/>
  <c r="F10" i="12"/>
  <c r="G10" i="12" s="1"/>
  <c r="H10" i="12" s="1"/>
  <c r="I10" i="12" s="1"/>
  <c r="F13" i="12"/>
  <c r="G13" i="12" s="1"/>
  <c r="H13" i="12" s="1"/>
  <c r="I13" i="12" s="1"/>
  <c r="F9" i="12"/>
  <c r="G9" i="12" s="1"/>
  <c r="H9" i="12" s="1"/>
  <c r="I9" i="12" s="1"/>
  <c r="F8" i="12"/>
  <c r="G8" i="12" s="1"/>
  <c r="H8" i="12" s="1"/>
  <c r="I8" i="12" s="1"/>
  <c r="E12" i="12"/>
  <c r="E11" i="12"/>
  <c r="F11" i="12" s="1"/>
  <c r="G11" i="12" s="1"/>
  <c r="H11" i="12" s="1"/>
  <c r="I11" i="12" s="1"/>
  <c r="E13" i="18"/>
  <c r="F13" i="18" s="1"/>
  <c r="G13" i="18" s="1"/>
  <c r="C22" i="12" l="1"/>
  <c r="F12" i="12"/>
  <c r="G12" i="12" s="1"/>
  <c r="H12" i="12" s="1"/>
  <c r="I12" i="12" s="1"/>
  <c r="I11" i="10"/>
  <c r="I10" i="10"/>
  <c r="C19" i="10"/>
  <c r="C21" i="10" s="1"/>
  <c r="D11" i="8"/>
  <c r="D16" i="8" s="1"/>
  <c r="F11" i="18" l="1"/>
  <c r="G11" i="18" s="1"/>
  <c r="F12" i="18"/>
  <c r="G12" i="18" s="1"/>
  <c r="F14" i="18"/>
  <c r="G14" i="18" s="1"/>
  <c r="F15" i="18"/>
  <c r="G15" i="18" s="1"/>
  <c r="F10" i="18"/>
  <c r="G10" i="18" s="1"/>
  <c r="D32" i="16" l="1"/>
  <c r="E32" i="16"/>
  <c r="C32" i="16"/>
  <c r="C34" i="16" s="1"/>
  <c r="Q32" i="16" l="1"/>
  <c r="E34" i="16"/>
  <c r="P32" i="16"/>
  <c r="D34" i="16"/>
  <c r="F32" i="16"/>
  <c r="I32" i="16"/>
  <c r="H32" i="16"/>
  <c r="S32" i="16"/>
  <c r="T32" i="16" l="1"/>
  <c r="H34" i="16"/>
  <c r="R32" i="16"/>
  <c r="F34" i="16"/>
  <c r="U32" i="16"/>
  <c r="I34" i="16"/>
  <c r="O27" i="13"/>
  <c r="O28" i="13"/>
  <c r="O29" i="13"/>
  <c r="O30" i="13"/>
  <c r="P3" i="13"/>
  <c r="Q3" i="13" s="1"/>
  <c r="R3" i="13" s="1"/>
  <c r="S3" i="13" s="1"/>
  <c r="T3" i="13" s="1"/>
  <c r="U3" i="13" s="1"/>
  <c r="D30" i="13"/>
  <c r="P30" i="13" s="1"/>
  <c r="D29" i="13"/>
  <c r="P29" i="13" s="1"/>
  <c r="D28" i="13"/>
  <c r="P28" i="13" s="1"/>
  <c r="D27" i="13"/>
  <c r="P27" i="13" s="1"/>
  <c r="D23" i="13"/>
  <c r="I13" i="13"/>
  <c r="H13" i="13"/>
  <c r="G13" i="13"/>
  <c r="F13" i="13"/>
  <c r="E13" i="13"/>
  <c r="I12" i="13"/>
  <c r="H12" i="13"/>
  <c r="G12" i="13"/>
  <c r="F12" i="13"/>
  <c r="E12" i="13"/>
  <c r="I11" i="13"/>
  <c r="H11" i="13"/>
  <c r="G11" i="13"/>
  <c r="F11" i="13"/>
  <c r="E11" i="13"/>
  <c r="I10" i="13"/>
  <c r="H10" i="13"/>
  <c r="G10" i="13"/>
  <c r="F10" i="13"/>
  <c r="E10" i="13"/>
  <c r="O32" i="13" l="1"/>
  <c r="F30" i="13"/>
  <c r="R30" i="13" s="1"/>
  <c r="F29" i="13"/>
  <c r="R29" i="13" s="1"/>
  <c r="F28" i="13"/>
  <c r="R28" i="13" s="1"/>
  <c r="F27" i="13"/>
  <c r="R27" i="13" s="1"/>
  <c r="R32" i="13" s="1"/>
  <c r="I30" i="13"/>
  <c r="U30" i="13" s="1"/>
  <c r="I29" i="13"/>
  <c r="U29" i="13" s="1"/>
  <c r="I28" i="13"/>
  <c r="U28" i="13" s="1"/>
  <c r="U32" i="13" s="1"/>
  <c r="I27" i="13"/>
  <c r="U27" i="13" s="1"/>
  <c r="H30" i="13"/>
  <c r="T30" i="13" s="1"/>
  <c r="H29" i="13"/>
  <c r="T29" i="13" s="1"/>
  <c r="H28" i="13"/>
  <c r="T28" i="13" s="1"/>
  <c r="H27" i="13"/>
  <c r="T27" i="13" s="1"/>
  <c r="G30" i="13"/>
  <c r="S30" i="13" s="1"/>
  <c r="G29" i="13"/>
  <c r="S29" i="13" s="1"/>
  <c r="G28" i="13"/>
  <c r="S28" i="13" s="1"/>
  <c r="G27" i="13"/>
  <c r="S27" i="13" s="1"/>
  <c r="E30" i="13"/>
  <c r="Q30" i="13" s="1"/>
  <c r="E29" i="13"/>
  <c r="Q29" i="13" s="1"/>
  <c r="E28" i="13"/>
  <c r="Q28" i="13" s="1"/>
  <c r="E27" i="13"/>
  <c r="Q27" i="13" s="1"/>
  <c r="Q32" i="13" s="1"/>
  <c r="P32" i="13"/>
  <c r="D32" i="13"/>
  <c r="D34" i="13" s="1"/>
  <c r="S32" i="13" l="1"/>
  <c r="T32" i="13"/>
  <c r="E32" i="13"/>
  <c r="E34" i="13" s="1"/>
  <c r="G7" i="8" l="1"/>
  <c r="O17" i="12" l="1"/>
  <c r="O16" i="12"/>
  <c r="D14" i="12"/>
  <c r="E14" i="12"/>
  <c r="C14" i="12"/>
  <c r="O18" i="12" l="1"/>
  <c r="O24" i="12" s="1"/>
  <c r="O43" i="18" l="1"/>
  <c r="P3" i="18"/>
  <c r="Q3" i="18" s="1"/>
  <c r="R3" i="18" s="1"/>
  <c r="S3" i="18" s="1"/>
  <c r="T3" i="18" s="1"/>
  <c r="U3" i="18" s="1"/>
  <c r="C18" i="18" l="1"/>
  <c r="D18" i="18"/>
  <c r="P18" i="18" s="1"/>
  <c r="C19" i="18"/>
  <c r="D19" i="18"/>
  <c r="P19" i="18" s="1"/>
  <c r="C20" i="18"/>
  <c r="D20" i="18"/>
  <c r="P20" i="18" s="1"/>
  <c r="C21" i="18"/>
  <c r="D21" i="18"/>
  <c r="P21" i="18" s="1"/>
  <c r="C22" i="18"/>
  <c r="D22" i="18"/>
  <c r="P22" i="18" s="1"/>
  <c r="C23" i="18"/>
  <c r="D23" i="18"/>
  <c r="P23" i="18" s="1"/>
  <c r="I7" i="8"/>
  <c r="H7" i="8"/>
  <c r="C24" i="18" l="1"/>
  <c r="P26" i="18"/>
  <c r="D24" i="18"/>
  <c r="F9" i="10"/>
  <c r="E7" i="18"/>
  <c r="G9" i="10" l="1"/>
  <c r="F12" i="10"/>
  <c r="F14" i="12"/>
  <c r="E20" i="18"/>
  <c r="Q20" i="18" s="1"/>
  <c r="A5" i="3"/>
  <c r="A6" i="3" s="1"/>
  <c r="F14" i="3"/>
  <c r="D30" i="15" s="1"/>
  <c r="G14" i="3"/>
  <c r="E30" i="15" s="1"/>
  <c r="H14" i="3"/>
  <c r="F30" i="15" s="1"/>
  <c r="I14" i="3"/>
  <c r="G30" i="15" s="1"/>
  <c r="J14" i="3"/>
  <c r="H30" i="15" s="1"/>
  <c r="K14" i="3"/>
  <c r="I30" i="15" s="1"/>
  <c r="E14" i="3"/>
  <c r="F13" i="3"/>
  <c r="D29" i="15" s="1"/>
  <c r="G13" i="3"/>
  <c r="E29" i="15" s="1"/>
  <c r="H13" i="3"/>
  <c r="F29" i="15" s="1"/>
  <c r="I13" i="3"/>
  <c r="G29" i="15" s="1"/>
  <c r="J13" i="3"/>
  <c r="H29" i="15" s="1"/>
  <c r="K13" i="3"/>
  <c r="I29" i="15" s="1"/>
  <c r="E13" i="3"/>
  <c r="F12" i="3"/>
  <c r="D28" i="15" s="1"/>
  <c r="G12" i="3"/>
  <c r="E28" i="15" s="1"/>
  <c r="H12" i="3"/>
  <c r="F28" i="15" s="1"/>
  <c r="I12" i="3"/>
  <c r="G28" i="15" s="1"/>
  <c r="J12" i="3"/>
  <c r="H28" i="15" s="1"/>
  <c r="K12" i="3"/>
  <c r="I28" i="15" s="1"/>
  <c r="E12" i="3"/>
  <c r="E30" i="3"/>
  <c r="F17" i="3"/>
  <c r="G9" i="3"/>
  <c r="G18" i="3" s="1"/>
  <c r="H9" i="3"/>
  <c r="H18" i="3" s="1"/>
  <c r="I9" i="3"/>
  <c r="I18" i="3" s="1"/>
  <c r="J9" i="3"/>
  <c r="J20" i="3" s="1"/>
  <c r="K9" i="3"/>
  <c r="K19" i="3" s="1"/>
  <c r="E17" i="3"/>
  <c r="E15" i="3" l="1"/>
  <c r="H9" i="10"/>
  <c r="G12" i="10"/>
  <c r="E18" i="3"/>
  <c r="E19" i="3"/>
  <c r="E20" i="3"/>
  <c r="F20" i="3"/>
  <c r="I17" i="3"/>
  <c r="I20" i="3"/>
  <c r="J19" i="3"/>
  <c r="K18" i="3"/>
  <c r="H19" i="3"/>
  <c r="F18" i="3"/>
  <c r="J17" i="3"/>
  <c r="K17" i="3"/>
  <c r="H20" i="3"/>
  <c r="I19" i="3"/>
  <c r="H17" i="3"/>
  <c r="J18" i="3"/>
  <c r="F19" i="3"/>
  <c r="G20" i="3"/>
  <c r="G17" i="3"/>
  <c r="K20" i="3"/>
  <c r="G19" i="3"/>
  <c r="G14" i="12"/>
  <c r="E19" i="18"/>
  <c r="Q19" i="18" s="1"/>
  <c r="E22" i="18"/>
  <c r="Q22" i="18" s="1"/>
  <c r="E18" i="18"/>
  <c r="E16" i="18"/>
  <c r="E23" i="18"/>
  <c r="Q23" i="18" s="1"/>
  <c r="E21" i="18"/>
  <c r="Q21" i="18" s="1"/>
  <c r="F15" i="3"/>
  <c r="G15" i="3"/>
  <c r="H15" i="3"/>
  <c r="I15" i="3"/>
  <c r="J15" i="3"/>
  <c r="K15" i="3"/>
  <c r="I9" i="10" l="1"/>
  <c r="H12" i="10"/>
  <c r="H14" i="12"/>
  <c r="F16" i="18"/>
  <c r="H12" i="18"/>
  <c r="Q18" i="18"/>
  <c r="Q26" i="18" s="1"/>
  <c r="E24" i="18"/>
  <c r="I9" i="19"/>
  <c r="I20" i="19" s="1"/>
  <c r="H9" i="19"/>
  <c r="G9" i="19"/>
  <c r="G20" i="19" s="1"/>
  <c r="F9" i="19"/>
  <c r="F20" i="19" s="1"/>
  <c r="E9" i="19"/>
  <c r="I7" i="18"/>
  <c r="H7" i="18"/>
  <c r="G7" i="18"/>
  <c r="F7" i="18"/>
  <c r="E29" i="18"/>
  <c r="I7" i="10"/>
  <c r="H7" i="10"/>
  <c r="G7" i="10"/>
  <c r="F7" i="10"/>
  <c r="E7" i="10"/>
  <c r="D7" i="10"/>
  <c r="I6" i="12"/>
  <c r="H6" i="12"/>
  <c r="G6" i="12"/>
  <c r="E6" i="12"/>
  <c r="D6" i="12"/>
  <c r="I7" i="2"/>
  <c r="H7" i="2"/>
  <c r="K28" i="3"/>
  <c r="K30" i="3" s="1"/>
  <c r="H37" i="18"/>
  <c r="I26" i="19"/>
  <c r="H26" i="19"/>
  <c r="G26" i="19"/>
  <c r="F26" i="19"/>
  <c r="E26" i="19"/>
  <c r="D26" i="19"/>
  <c r="I17" i="19"/>
  <c r="I16" i="17"/>
  <c r="I18" i="17" s="1"/>
  <c r="U18" i="17" s="1"/>
  <c r="U25" i="17" s="1"/>
  <c r="H16" i="17"/>
  <c r="G16" i="17"/>
  <c r="F16" i="17"/>
  <c r="E16" i="17"/>
  <c r="D16" i="17"/>
  <c r="C16" i="17"/>
  <c r="C18" i="17" s="1"/>
  <c r="I23" i="17"/>
  <c r="I11" i="2"/>
  <c r="I10" i="5"/>
  <c r="U10" i="5" s="1"/>
  <c r="U12" i="5" s="1"/>
  <c r="P16" i="8"/>
  <c r="C12" i="8"/>
  <c r="F9" i="8"/>
  <c r="H10" i="5"/>
  <c r="T10" i="5" s="1"/>
  <c r="T12" i="5" s="1"/>
  <c r="G10" i="5"/>
  <c r="R10" i="5"/>
  <c r="R12" i="5" s="1"/>
  <c r="E12" i="5"/>
  <c r="P3" i="19"/>
  <c r="Q3" i="19" s="1"/>
  <c r="R3" i="19" s="1"/>
  <c r="S3" i="19" s="1"/>
  <c r="T3" i="19" s="1"/>
  <c r="U3" i="19" s="1"/>
  <c r="O25" i="17"/>
  <c r="P3" i="17"/>
  <c r="Q3" i="17" s="1"/>
  <c r="R3" i="17" s="1"/>
  <c r="S3" i="17" s="1"/>
  <c r="T3" i="17" s="1"/>
  <c r="U3" i="17" s="1"/>
  <c r="P3" i="16"/>
  <c r="Q3" i="16" s="1"/>
  <c r="R3" i="16" s="1"/>
  <c r="S3" i="16" s="1"/>
  <c r="T3" i="16" s="1"/>
  <c r="U3" i="16" s="1"/>
  <c r="O21" i="10"/>
  <c r="P3" i="2"/>
  <c r="Q3" i="2" s="1"/>
  <c r="R3" i="2" s="1"/>
  <c r="S3" i="2" s="1"/>
  <c r="T3" i="2" s="1"/>
  <c r="U3" i="2" s="1"/>
  <c r="O26" i="12"/>
  <c r="P3" i="10"/>
  <c r="Q3" i="10" s="1"/>
  <c r="R3" i="10" s="1"/>
  <c r="S3" i="10" s="1"/>
  <c r="T3" i="10" s="1"/>
  <c r="U3" i="10" s="1"/>
  <c r="P3" i="12"/>
  <c r="Q3" i="12" s="1"/>
  <c r="R3" i="12" s="1"/>
  <c r="S3" i="12" s="1"/>
  <c r="T3" i="12" s="1"/>
  <c r="U3" i="12" s="1"/>
  <c r="O12" i="5"/>
  <c r="S10" i="5"/>
  <c r="S12" i="5" s="1"/>
  <c r="P10" i="5"/>
  <c r="P12" i="5" s="1"/>
  <c r="P3" i="5"/>
  <c r="Q3" i="5" s="1"/>
  <c r="R3" i="5" s="1"/>
  <c r="S3" i="5" s="1"/>
  <c r="T3" i="5" s="1"/>
  <c r="U3" i="5" s="1"/>
  <c r="O20" i="8"/>
  <c r="P3" i="8"/>
  <c r="Q3" i="8" s="1"/>
  <c r="R3" i="8" s="1"/>
  <c r="S3" i="8" s="1"/>
  <c r="T3" i="8" s="1"/>
  <c r="U3" i="8" s="1"/>
  <c r="C28" i="19"/>
  <c r="C17" i="19"/>
  <c r="H17" i="19"/>
  <c r="G17" i="19"/>
  <c r="F17" i="19"/>
  <c r="E17" i="19"/>
  <c r="D17" i="19"/>
  <c r="A14" i="19"/>
  <c r="D3" i="19"/>
  <c r="E3" i="19" s="1"/>
  <c r="F3" i="19" s="1"/>
  <c r="G3" i="19" s="1"/>
  <c r="H3" i="19" s="1"/>
  <c r="I3" i="19" s="1"/>
  <c r="C29" i="18"/>
  <c r="D16" i="18"/>
  <c r="C16" i="18"/>
  <c r="D29" i="18"/>
  <c r="A7" i="18"/>
  <c r="D3" i="18"/>
  <c r="E3" i="18" s="1"/>
  <c r="F3" i="18" s="1"/>
  <c r="G3" i="18" s="1"/>
  <c r="H3" i="18" s="1"/>
  <c r="I3" i="18" s="1"/>
  <c r="C23" i="17"/>
  <c r="H23" i="17"/>
  <c r="D23" i="17"/>
  <c r="A7" i="17"/>
  <c r="D3" i="17"/>
  <c r="E3" i="17" s="1"/>
  <c r="F3" i="17" s="1"/>
  <c r="G3" i="17" s="1"/>
  <c r="H3" i="17" s="1"/>
  <c r="I3" i="17" s="1"/>
  <c r="D3" i="16"/>
  <c r="E3" i="16" s="1"/>
  <c r="F3" i="16" s="1"/>
  <c r="G3" i="16" s="1"/>
  <c r="H3" i="16" s="1"/>
  <c r="I3" i="16" s="1"/>
  <c r="C24" i="12"/>
  <c r="C26" i="12" s="1"/>
  <c r="A6" i="12"/>
  <c r="A7" i="10"/>
  <c r="D3" i="11"/>
  <c r="E3" i="11" s="1"/>
  <c r="F3" i="11" s="1"/>
  <c r="G3" i="11" s="1"/>
  <c r="H3" i="11" s="1"/>
  <c r="I3" i="11" s="1"/>
  <c r="J28" i="3"/>
  <c r="J30" i="3" s="1"/>
  <c r="I28" i="3"/>
  <c r="I30" i="3" s="1"/>
  <c r="H28" i="3"/>
  <c r="H30" i="3" s="1"/>
  <c r="G28" i="3"/>
  <c r="G30" i="3" s="1"/>
  <c r="F28" i="3"/>
  <c r="F30" i="3" s="1"/>
  <c r="D37" i="18"/>
  <c r="F2" i="3"/>
  <c r="G2" i="3" s="1"/>
  <c r="H2" i="3" s="1"/>
  <c r="I2" i="3" s="1"/>
  <c r="J2" i="3" s="1"/>
  <c r="K2" i="3" s="1"/>
  <c r="C43" i="15"/>
  <c r="D37" i="15"/>
  <c r="D39" i="15" s="1"/>
  <c r="C37" i="15"/>
  <c r="C39" i="15" s="1"/>
  <c r="D23" i="15"/>
  <c r="E23" i="15" s="1"/>
  <c r="C19" i="15"/>
  <c r="C21" i="15" s="1"/>
  <c r="C25" i="15" s="1"/>
  <c r="D18" i="15"/>
  <c r="E18" i="15" s="1"/>
  <c r="F18" i="15" s="1"/>
  <c r="G18" i="15" s="1"/>
  <c r="H18" i="15" s="1"/>
  <c r="I18" i="15" s="1"/>
  <c r="D17" i="15"/>
  <c r="E17" i="15" s="1"/>
  <c r="F17" i="15" s="1"/>
  <c r="G17" i="15" s="1"/>
  <c r="H17" i="15" s="1"/>
  <c r="I17" i="15" s="1"/>
  <c r="D16" i="15"/>
  <c r="E16" i="15" s="1"/>
  <c r="D12" i="15"/>
  <c r="E12" i="15" s="1"/>
  <c r="F12" i="15" s="1"/>
  <c r="D11" i="15"/>
  <c r="E11" i="15" s="1"/>
  <c r="E34" i="15" s="1"/>
  <c r="E37" i="15" s="1"/>
  <c r="E39" i="15" s="1"/>
  <c r="A7" i="15"/>
  <c r="A8" i="15" s="1"/>
  <c r="A11" i="15" s="1"/>
  <c r="D3" i="15"/>
  <c r="E3" i="15" s="1"/>
  <c r="F3" i="15" s="1"/>
  <c r="G3" i="15" s="1"/>
  <c r="H3" i="15" s="1"/>
  <c r="I3" i="15" s="1"/>
  <c r="G23" i="13"/>
  <c r="F23" i="13"/>
  <c r="E23" i="13"/>
  <c r="A7" i="13"/>
  <c r="D3" i="13"/>
  <c r="E3" i="13" s="1"/>
  <c r="F3" i="13" s="1"/>
  <c r="G3" i="13" s="1"/>
  <c r="H3" i="13" s="1"/>
  <c r="I3" i="13" s="1"/>
  <c r="D3" i="10"/>
  <c r="E3" i="10" s="1"/>
  <c r="F3" i="10" s="1"/>
  <c r="G3" i="10" s="1"/>
  <c r="H3" i="10" s="1"/>
  <c r="I3" i="10" s="1"/>
  <c r="D3" i="12"/>
  <c r="E3" i="12" s="1"/>
  <c r="F3" i="12" s="1"/>
  <c r="G3" i="12" s="1"/>
  <c r="H3" i="12" s="1"/>
  <c r="I3" i="12" s="1"/>
  <c r="C20" i="8"/>
  <c r="A7" i="8"/>
  <c r="H12" i="5"/>
  <c r="G12" i="5"/>
  <c r="F12" i="5"/>
  <c r="D12" i="5"/>
  <c r="C12" i="5"/>
  <c r="A10" i="5"/>
  <c r="A12" i="5" s="1"/>
  <c r="D3" i="5"/>
  <c r="E3" i="5" s="1"/>
  <c r="F3" i="5" s="1"/>
  <c r="G3" i="5" s="1"/>
  <c r="H3" i="5" s="1"/>
  <c r="I3" i="5" s="1"/>
  <c r="C18" i="2"/>
  <c r="H11" i="2"/>
  <c r="G11" i="2"/>
  <c r="F11" i="2"/>
  <c r="E11" i="2"/>
  <c r="D11" i="2"/>
  <c r="C11" i="2"/>
  <c r="C13" i="2" s="1"/>
  <c r="G7" i="2"/>
  <c r="F7" i="2"/>
  <c r="E18" i="2"/>
  <c r="D18" i="2"/>
  <c r="A7" i="2"/>
  <c r="A10" i="2" s="1"/>
  <c r="D3" i="2"/>
  <c r="E3" i="2" s="1"/>
  <c r="F3" i="2" s="1"/>
  <c r="G3" i="2" s="1"/>
  <c r="H3" i="2" s="1"/>
  <c r="I3" i="2" s="1"/>
  <c r="C30" i="17"/>
  <c r="C40" i="16"/>
  <c r="G35" i="18"/>
  <c r="G36" i="18"/>
  <c r="C29" i="17"/>
  <c r="E36" i="18"/>
  <c r="F37" i="18"/>
  <c r="E35" i="18"/>
  <c r="A8" i="13" l="1"/>
  <c r="U21" i="19"/>
  <c r="I23" i="19"/>
  <c r="E20" i="19"/>
  <c r="R21" i="19"/>
  <c r="F23" i="19"/>
  <c r="S21" i="19"/>
  <c r="G23" i="19"/>
  <c r="H20" i="19"/>
  <c r="D14" i="10"/>
  <c r="P15" i="10" s="1"/>
  <c r="D15" i="10"/>
  <c r="P16" i="10" s="1"/>
  <c r="D16" i="10"/>
  <c r="D16" i="12"/>
  <c r="D17" i="12"/>
  <c r="P17" i="12" s="1"/>
  <c r="D18" i="12"/>
  <c r="D19" i="12"/>
  <c r="P19" i="12" s="1"/>
  <c r="D20" i="12"/>
  <c r="P20" i="12" s="1"/>
  <c r="D21" i="12"/>
  <c r="P21" i="12" s="1"/>
  <c r="I12" i="5"/>
  <c r="Q10" i="5"/>
  <c r="Q12" i="5" s="1"/>
  <c r="A15" i="19"/>
  <c r="A16" i="19" s="1"/>
  <c r="D28" i="19"/>
  <c r="P28" i="19" s="1"/>
  <c r="P30" i="19" s="1"/>
  <c r="H28" i="19"/>
  <c r="T28" i="19" s="1"/>
  <c r="E14" i="10"/>
  <c r="E15" i="10"/>
  <c r="Q16" i="10" s="1"/>
  <c r="E16" i="10"/>
  <c r="Q17" i="10" s="1"/>
  <c r="F16" i="10"/>
  <c r="R17" i="10" s="1"/>
  <c r="F14" i="10"/>
  <c r="R15" i="10" s="1"/>
  <c r="F15" i="10"/>
  <c r="G15" i="10"/>
  <c r="S16" i="10" s="1"/>
  <c r="G14" i="10"/>
  <c r="S15" i="10" s="1"/>
  <c r="G16" i="10"/>
  <c r="H14" i="10"/>
  <c r="T15" i="10" s="1"/>
  <c r="H16" i="10"/>
  <c r="T17" i="10" s="1"/>
  <c r="H15" i="10"/>
  <c r="I14" i="10"/>
  <c r="U15" i="10" s="1"/>
  <c r="I16" i="10"/>
  <c r="U17" i="10" s="1"/>
  <c r="I15" i="10"/>
  <c r="E16" i="12"/>
  <c r="E17" i="12"/>
  <c r="Q17" i="12" s="1"/>
  <c r="E18" i="12"/>
  <c r="Q18" i="12" s="1"/>
  <c r="E19" i="12"/>
  <c r="Q19" i="12" s="1"/>
  <c r="E20" i="12"/>
  <c r="Q20" i="12" s="1"/>
  <c r="E21" i="12"/>
  <c r="Q21" i="12" s="1"/>
  <c r="F16" i="12"/>
  <c r="F17" i="12"/>
  <c r="R17" i="12" s="1"/>
  <c r="F18" i="12"/>
  <c r="R18" i="12" s="1"/>
  <c r="F19" i="12"/>
  <c r="F20" i="12"/>
  <c r="R20" i="12" s="1"/>
  <c r="F21" i="12"/>
  <c r="R21" i="12" s="1"/>
  <c r="G16" i="12"/>
  <c r="G17" i="12"/>
  <c r="S17" i="12" s="1"/>
  <c r="G18" i="12"/>
  <c r="S18" i="12" s="1"/>
  <c r="G19" i="12"/>
  <c r="S19" i="12" s="1"/>
  <c r="G20" i="12"/>
  <c r="S20" i="12" s="1"/>
  <c r="G21" i="12"/>
  <c r="S21" i="12" s="1"/>
  <c r="H16" i="12"/>
  <c r="H17" i="12"/>
  <c r="T17" i="12" s="1"/>
  <c r="H18" i="12"/>
  <c r="H19" i="12"/>
  <c r="T19" i="12" s="1"/>
  <c r="H20" i="12"/>
  <c r="T20" i="12" s="1"/>
  <c r="H21" i="12"/>
  <c r="T21" i="12" s="1"/>
  <c r="I16" i="12"/>
  <c r="I17" i="12"/>
  <c r="U17" i="12" s="1"/>
  <c r="I18" i="12"/>
  <c r="U18" i="12" s="1"/>
  <c r="I19" i="12"/>
  <c r="U19" i="12" s="1"/>
  <c r="I20" i="12"/>
  <c r="U20" i="12" s="1"/>
  <c r="I21" i="12"/>
  <c r="U21" i="12" s="1"/>
  <c r="I12" i="10"/>
  <c r="A9" i="10"/>
  <c r="D12" i="8"/>
  <c r="C13" i="8"/>
  <c r="E12" i="8" s="1"/>
  <c r="E18" i="8" s="1"/>
  <c r="A9" i="8"/>
  <c r="A11" i="8" s="1"/>
  <c r="A12" i="8" s="1"/>
  <c r="D18" i="17"/>
  <c r="P18" i="17" s="1"/>
  <c r="P25" i="17" s="1"/>
  <c r="F18" i="17"/>
  <c r="R18" i="17" s="1"/>
  <c r="R25" i="17" s="1"/>
  <c r="G28" i="19"/>
  <c r="S28" i="19" s="1"/>
  <c r="F28" i="19"/>
  <c r="R28" i="19" s="1"/>
  <c r="I28" i="19"/>
  <c r="U28" i="19" s="1"/>
  <c r="F19" i="18"/>
  <c r="R19" i="18" s="1"/>
  <c r="H29" i="18"/>
  <c r="I29" i="18"/>
  <c r="G29" i="18"/>
  <c r="F23" i="17"/>
  <c r="E18" i="17"/>
  <c r="E23" i="17"/>
  <c r="G23" i="17"/>
  <c r="G18" i="17"/>
  <c r="H18" i="17"/>
  <c r="T18" i="17" s="1"/>
  <c r="T25" i="17" s="1"/>
  <c r="H18" i="2"/>
  <c r="I18" i="2"/>
  <c r="H13" i="2"/>
  <c r="T13" i="2" s="1"/>
  <c r="T20" i="2" s="1"/>
  <c r="F18" i="2"/>
  <c r="G18" i="2"/>
  <c r="E3" i="8"/>
  <c r="A7" i="16"/>
  <c r="A12" i="15"/>
  <c r="C30" i="19"/>
  <c r="F22" i="18"/>
  <c r="R22" i="18" s="1"/>
  <c r="A10" i="17"/>
  <c r="C25" i="17"/>
  <c r="A11" i="2"/>
  <c r="C20" i="2"/>
  <c r="C22" i="2" s="1"/>
  <c r="A8" i="12"/>
  <c r="P18" i="12"/>
  <c r="D24" i="12"/>
  <c r="D26" i="12" s="1"/>
  <c r="D13" i="2"/>
  <c r="P13" i="2" s="1"/>
  <c r="P20" i="2" s="1"/>
  <c r="I13" i="2"/>
  <c r="U13" i="2" s="1"/>
  <c r="U20" i="2" s="1"/>
  <c r="E28" i="19"/>
  <c r="Q28" i="19" s="1"/>
  <c r="S16" i="12"/>
  <c r="T18" i="12"/>
  <c r="E13" i="2"/>
  <c r="F13" i="2"/>
  <c r="R13" i="2" s="1"/>
  <c r="R20" i="2" s="1"/>
  <c r="G13" i="2"/>
  <c r="S13" i="2" s="1"/>
  <c r="S20" i="2" s="1"/>
  <c r="I14" i="12"/>
  <c r="G23" i="18"/>
  <c r="S23" i="18" s="1"/>
  <c r="H15" i="18"/>
  <c r="F23" i="18"/>
  <c r="R23" i="18" s="1"/>
  <c r="G19" i="18"/>
  <c r="S19" i="18" s="1"/>
  <c r="H11" i="18"/>
  <c r="I12" i="18"/>
  <c r="H20" i="18"/>
  <c r="T20" i="18" s="1"/>
  <c r="G20" i="18"/>
  <c r="S20" i="18" s="1"/>
  <c r="F29" i="18"/>
  <c r="F20" i="18"/>
  <c r="R20" i="18" s="1"/>
  <c r="G21" i="18"/>
  <c r="S21" i="18" s="1"/>
  <c r="H13" i="18"/>
  <c r="G16" i="18"/>
  <c r="G18" i="18"/>
  <c r="H10" i="18"/>
  <c r="F21" i="18"/>
  <c r="R21" i="18" s="1"/>
  <c r="G22" i="18"/>
  <c r="S22" i="18" s="1"/>
  <c r="H14" i="18"/>
  <c r="F18" i="18"/>
  <c r="G9" i="8"/>
  <c r="A10" i="18"/>
  <c r="A11" i="18" s="1"/>
  <c r="A12" i="18" s="1"/>
  <c r="C31" i="18"/>
  <c r="D31" i="18"/>
  <c r="E31" i="18"/>
  <c r="E40" i="18" s="1"/>
  <c r="Q40" i="18" s="1"/>
  <c r="I25" i="17"/>
  <c r="C36" i="18"/>
  <c r="C39" i="16"/>
  <c r="D39" i="16"/>
  <c r="F39" i="16"/>
  <c r="H39" i="16"/>
  <c r="E30" i="17"/>
  <c r="G30" i="17"/>
  <c r="I30" i="17"/>
  <c r="D36" i="18"/>
  <c r="F36" i="18"/>
  <c r="H36" i="18"/>
  <c r="C35" i="18"/>
  <c r="C38" i="16"/>
  <c r="D38" i="16"/>
  <c r="F38" i="16"/>
  <c r="H38" i="16"/>
  <c r="E29" i="17"/>
  <c r="G29" i="17"/>
  <c r="I29" i="17"/>
  <c r="D35" i="18"/>
  <c r="F35" i="18"/>
  <c r="H35" i="18"/>
  <c r="C31" i="17"/>
  <c r="C32" i="17" s="1"/>
  <c r="E40" i="16"/>
  <c r="G40" i="16"/>
  <c r="I40" i="16"/>
  <c r="D31" i="17"/>
  <c r="F31" i="17"/>
  <c r="H31" i="17"/>
  <c r="E37" i="18"/>
  <c r="G37" i="18"/>
  <c r="I37" i="18"/>
  <c r="E39" i="16"/>
  <c r="G39" i="16"/>
  <c r="I39" i="16"/>
  <c r="D30" i="17"/>
  <c r="F30" i="17"/>
  <c r="H30" i="17"/>
  <c r="I36" i="18"/>
  <c r="E38" i="16"/>
  <c r="G38" i="16"/>
  <c r="I38" i="16"/>
  <c r="D29" i="17"/>
  <c r="F29" i="17"/>
  <c r="H29" i="17"/>
  <c r="I35" i="18"/>
  <c r="C37" i="18"/>
  <c r="D40" i="16"/>
  <c r="F40" i="16"/>
  <c r="H40" i="16"/>
  <c r="E31" i="17"/>
  <c r="G31" i="17"/>
  <c r="I31" i="17"/>
  <c r="E45" i="15"/>
  <c r="F23" i="15"/>
  <c r="F35" i="15"/>
  <c r="F37" i="15" s="1"/>
  <c r="F39" i="15" s="1"/>
  <c r="G12" i="15"/>
  <c r="E19" i="15"/>
  <c r="E41" i="15" s="1"/>
  <c r="E43" i="15" s="1"/>
  <c r="F16" i="15"/>
  <c r="D19" i="15"/>
  <c r="D41" i="15" s="1"/>
  <c r="D43" i="15" s="1"/>
  <c r="I23" i="13"/>
  <c r="H23" i="13"/>
  <c r="A10" i="13" l="1"/>
  <c r="A11" i="13" s="1"/>
  <c r="A12" i="13" s="1"/>
  <c r="A9" i="13"/>
  <c r="R30" i="19"/>
  <c r="E23" i="19"/>
  <c r="Q21" i="19"/>
  <c r="Q30" i="19" s="1"/>
  <c r="T21" i="19"/>
  <c r="T30" i="19" s="1"/>
  <c r="H23" i="19"/>
  <c r="A17" i="19"/>
  <c r="A20" i="19" s="1"/>
  <c r="A21" i="19" s="1"/>
  <c r="S30" i="19"/>
  <c r="U30" i="19"/>
  <c r="F25" i="17"/>
  <c r="D17" i="10"/>
  <c r="D19" i="10" s="1"/>
  <c r="D21" i="10" s="1"/>
  <c r="P17" i="10"/>
  <c r="P19" i="10" s="1"/>
  <c r="P21" i="10" s="1"/>
  <c r="S24" i="12"/>
  <c r="D22" i="12"/>
  <c r="F12" i="8"/>
  <c r="D13" i="8"/>
  <c r="D18" i="8"/>
  <c r="D25" i="17"/>
  <c r="D35" i="17" s="1"/>
  <c r="P35" i="17" s="1"/>
  <c r="H25" i="17"/>
  <c r="H30" i="19"/>
  <c r="G30" i="19"/>
  <c r="D30" i="19"/>
  <c r="Q18" i="17"/>
  <c r="Q25" i="17" s="1"/>
  <c r="E25" i="17"/>
  <c r="E35" i="17" s="1"/>
  <c r="Q35" i="17" s="1"/>
  <c r="F17" i="10"/>
  <c r="F19" i="10" s="1"/>
  <c r="F21" i="10" s="1"/>
  <c r="R16" i="10"/>
  <c r="R19" i="10" s="1"/>
  <c r="R21" i="10" s="1"/>
  <c r="H17" i="10"/>
  <c r="T16" i="10"/>
  <c r="T19" i="10" s="1"/>
  <c r="T21" i="10" s="1"/>
  <c r="G17" i="10"/>
  <c r="G19" i="10" s="1"/>
  <c r="G21" i="10" s="1"/>
  <c r="S17" i="10"/>
  <c r="S19" i="10" s="1"/>
  <c r="S21" i="10" s="1"/>
  <c r="Q15" i="10"/>
  <c r="E17" i="10"/>
  <c r="E19" i="10" s="1"/>
  <c r="E21" i="10" s="1"/>
  <c r="I17" i="10"/>
  <c r="I19" i="10" s="1"/>
  <c r="I21" i="10" s="1"/>
  <c r="U16" i="10"/>
  <c r="U19" i="10" s="1"/>
  <c r="U21" i="10" s="1"/>
  <c r="Q16" i="12"/>
  <c r="Q24" i="12" s="1"/>
  <c r="Q26" i="12" s="1"/>
  <c r="E22" i="12"/>
  <c r="E24" i="12" s="1"/>
  <c r="E26" i="12" s="1"/>
  <c r="G22" i="12"/>
  <c r="G24" i="12" s="1"/>
  <c r="G26" i="12" s="1"/>
  <c r="H22" i="12"/>
  <c r="H24" i="12" s="1"/>
  <c r="H26" i="12" s="1"/>
  <c r="I22" i="12"/>
  <c r="I24" i="12" s="1"/>
  <c r="I26" i="12" s="1"/>
  <c r="F22" i="12"/>
  <c r="F24" i="12" s="1"/>
  <c r="F26" i="12" s="1"/>
  <c r="R19" i="12"/>
  <c r="A10" i="10"/>
  <c r="A11" i="10" s="1"/>
  <c r="A12" i="10" s="1"/>
  <c r="H19" i="10"/>
  <c r="H21" i="10" s="1"/>
  <c r="A13" i="8"/>
  <c r="A16" i="8" s="1"/>
  <c r="A18" i="8" s="1"/>
  <c r="E11" i="8"/>
  <c r="G12" i="8"/>
  <c r="H20" i="2"/>
  <c r="H22" i="2" s="1"/>
  <c r="F30" i="19"/>
  <c r="G25" i="17"/>
  <c r="G34" i="17" s="1"/>
  <c r="S34" i="17" s="1"/>
  <c r="S18" i="17"/>
  <c r="S25" i="17" s="1"/>
  <c r="F3" i="8"/>
  <c r="R16" i="12"/>
  <c r="P18" i="8"/>
  <c r="P20" i="8" s="1"/>
  <c r="C5" i="11"/>
  <c r="C9" i="11" s="1"/>
  <c r="D44" i="16"/>
  <c r="P44" i="16" s="1"/>
  <c r="A16" i="15"/>
  <c r="A11" i="17"/>
  <c r="A12" i="17" s="1"/>
  <c r="I35" i="17"/>
  <c r="U35" i="17" s="1"/>
  <c r="I34" i="17"/>
  <c r="U34" i="17" s="1"/>
  <c r="I33" i="17"/>
  <c r="U33" i="17" s="1"/>
  <c r="F34" i="17"/>
  <c r="R34" i="17" s="1"/>
  <c r="A13" i="2"/>
  <c r="I20" i="2"/>
  <c r="I22" i="2" s="1"/>
  <c r="E20" i="2"/>
  <c r="E22" i="2" s="1"/>
  <c r="Q13" i="2"/>
  <c r="Q20" i="2" s="1"/>
  <c r="P16" i="12"/>
  <c r="P24" i="12" s="1"/>
  <c r="P26" i="12" s="1"/>
  <c r="A9" i="12"/>
  <c r="F44" i="16"/>
  <c r="R44" i="16" s="1"/>
  <c r="G43" i="16"/>
  <c r="S43" i="16" s="1"/>
  <c r="F43" i="16"/>
  <c r="R43" i="16" s="1"/>
  <c r="D43" i="16"/>
  <c r="P43" i="16" s="1"/>
  <c r="E44" i="16"/>
  <c r="Q44" i="16" s="1"/>
  <c r="D20" i="2"/>
  <c r="D22" i="2" s="1"/>
  <c r="E43" i="16"/>
  <c r="Q43" i="16" s="1"/>
  <c r="E30" i="19"/>
  <c r="G44" i="16"/>
  <c r="S44" i="16" s="1"/>
  <c r="S26" i="12"/>
  <c r="U16" i="12"/>
  <c r="U24" i="12" s="1"/>
  <c r="T16" i="12"/>
  <c r="T24" i="12" s="1"/>
  <c r="F20" i="2"/>
  <c r="F22" i="2" s="1"/>
  <c r="G20" i="2"/>
  <c r="G22" i="2" s="1"/>
  <c r="I30" i="19"/>
  <c r="A13" i="18"/>
  <c r="A14" i="18" s="1"/>
  <c r="S18" i="18"/>
  <c r="S26" i="18" s="1"/>
  <c r="G24" i="18"/>
  <c r="I20" i="18"/>
  <c r="U20" i="18" s="1"/>
  <c r="I11" i="18"/>
  <c r="H19" i="18"/>
  <c r="T19" i="18" s="1"/>
  <c r="H18" i="18"/>
  <c r="H16" i="18"/>
  <c r="I10" i="18"/>
  <c r="H21" i="18"/>
  <c r="T21" i="18" s="1"/>
  <c r="I13" i="18"/>
  <c r="R18" i="18"/>
  <c r="R26" i="18" s="1"/>
  <c r="F24" i="18"/>
  <c r="H22" i="18"/>
  <c r="T22" i="18" s="1"/>
  <c r="I14" i="18"/>
  <c r="I15" i="18"/>
  <c r="H23" i="18"/>
  <c r="T23" i="18" s="1"/>
  <c r="Q18" i="8"/>
  <c r="H9" i="8"/>
  <c r="F35" i="17"/>
  <c r="R35" i="17" s="1"/>
  <c r="D40" i="18"/>
  <c r="P40" i="18" s="1"/>
  <c r="E39" i="18"/>
  <c r="Q39" i="18" s="1"/>
  <c r="D41" i="18"/>
  <c r="P41" i="18" s="1"/>
  <c r="E41" i="18"/>
  <c r="Q41" i="18" s="1"/>
  <c r="H35" i="17"/>
  <c r="T35" i="17" s="1"/>
  <c r="H34" i="17"/>
  <c r="T34" i="17" s="1"/>
  <c r="H38" i="18"/>
  <c r="C41" i="16"/>
  <c r="I41" i="16"/>
  <c r="I38" i="18"/>
  <c r="G38" i="18"/>
  <c r="I32" i="17"/>
  <c r="E38" i="18"/>
  <c r="C38" i="18"/>
  <c r="H32" i="17"/>
  <c r="H33" i="17"/>
  <c r="H41" i="16"/>
  <c r="F33" i="17"/>
  <c r="F32" i="17"/>
  <c r="D38" i="18"/>
  <c r="D39" i="18"/>
  <c r="P39" i="18" s="1"/>
  <c r="F41" i="16"/>
  <c r="F42" i="16"/>
  <c r="D32" i="17"/>
  <c r="D42" i="16"/>
  <c r="D41" i="16"/>
  <c r="G32" i="17"/>
  <c r="F38" i="18"/>
  <c r="G42" i="16"/>
  <c r="G41" i="16"/>
  <c r="E32" i="17"/>
  <c r="E42" i="16"/>
  <c r="E41" i="16"/>
  <c r="F45" i="15"/>
  <c r="G23" i="15"/>
  <c r="D49" i="15"/>
  <c r="D50" i="15"/>
  <c r="D48" i="15"/>
  <c r="F19" i="15"/>
  <c r="F41" i="15" s="1"/>
  <c r="F43" i="15" s="1"/>
  <c r="G16" i="15"/>
  <c r="E49" i="15"/>
  <c r="E50" i="15"/>
  <c r="E48" i="15"/>
  <c r="H12" i="15"/>
  <c r="G35" i="15"/>
  <c r="G37" i="15" s="1"/>
  <c r="G39" i="15" s="1"/>
  <c r="F32" i="13"/>
  <c r="F34" i="13" s="1"/>
  <c r="A13" i="13" l="1"/>
  <c r="A18" i="13" s="1"/>
  <c r="A23" i="19"/>
  <c r="A26" i="19" s="1"/>
  <c r="A14" i="10"/>
  <c r="A15" i="10" s="1"/>
  <c r="A16" i="10" s="1"/>
  <c r="Q19" i="10"/>
  <c r="Q21" i="10" s="1"/>
  <c r="G18" i="8"/>
  <c r="G11" i="8"/>
  <c r="E16" i="8"/>
  <c r="E20" i="8" s="1"/>
  <c r="E24" i="8" s="1"/>
  <c r="F18" i="8"/>
  <c r="R24" i="12"/>
  <c r="R26" i="12" s="1"/>
  <c r="G33" i="17"/>
  <c r="H44" i="16"/>
  <c r="T44" i="16" s="1"/>
  <c r="I43" i="16"/>
  <c r="U43" i="16" s="1"/>
  <c r="D33" i="17"/>
  <c r="D34" i="17"/>
  <c r="P34" i="17" s="1"/>
  <c r="E34" i="17"/>
  <c r="Q34" i="17" s="1"/>
  <c r="E33" i="17"/>
  <c r="H42" i="16"/>
  <c r="T42" i="16" s="1"/>
  <c r="I44" i="16"/>
  <c r="U44" i="16" s="1"/>
  <c r="I42" i="16"/>
  <c r="H43" i="16"/>
  <c r="T43" i="16" s="1"/>
  <c r="G35" i="17"/>
  <c r="S35" i="17" s="1"/>
  <c r="A10" i="12"/>
  <c r="A11" i="12" s="1"/>
  <c r="A12" i="12" s="1"/>
  <c r="F11" i="8"/>
  <c r="F16" i="8" s="1"/>
  <c r="H11" i="8"/>
  <c r="H12" i="8"/>
  <c r="H18" i="8" s="1"/>
  <c r="U37" i="17"/>
  <c r="U39" i="17" s="1"/>
  <c r="A13" i="17"/>
  <c r="A14" i="17" s="1"/>
  <c r="D20" i="8"/>
  <c r="D24" i="8" s="1"/>
  <c r="G3" i="8"/>
  <c r="A17" i="15"/>
  <c r="I37" i="17"/>
  <c r="I39" i="17" s="1"/>
  <c r="A16" i="2"/>
  <c r="A18" i="2" s="1"/>
  <c r="A20" i="2" s="1"/>
  <c r="A22" i="2" s="1"/>
  <c r="Q43" i="18"/>
  <c r="Q45" i="18" s="1"/>
  <c r="T26" i="12"/>
  <c r="U26" i="12"/>
  <c r="I19" i="18"/>
  <c r="U19" i="18" s="1"/>
  <c r="I23" i="18"/>
  <c r="U23" i="18" s="1"/>
  <c r="P43" i="18"/>
  <c r="I21" i="18"/>
  <c r="U21" i="18" s="1"/>
  <c r="I22" i="18"/>
  <c r="U22" i="18" s="1"/>
  <c r="I16" i="18"/>
  <c r="I18" i="18"/>
  <c r="G31" i="18"/>
  <c r="T18" i="18"/>
  <c r="T26" i="18" s="1"/>
  <c r="H24" i="18"/>
  <c r="F31" i="18"/>
  <c r="P24" i="8"/>
  <c r="I9" i="8"/>
  <c r="A20" i="8"/>
  <c r="A22" i="8" s="1"/>
  <c r="A15" i="18"/>
  <c r="A16" i="18" s="1"/>
  <c r="E43" i="18"/>
  <c r="D52" i="15"/>
  <c r="D55" i="15" s="1"/>
  <c r="E52" i="15"/>
  <c r="Q42" i="16"/>
  <c r="Q46" i="16" s="1"/>
  <c r="E46" i="16"/>
  <c r="S42" i="16"/>
  <c r="S46" i="16" s="1"/>
  <c r="G46" i="16"/>
  <c r="R42" i="16"/>
  <c r="R46" i="16" s="1"/>
  <c r="F46" i="16"/>
  <c r="P42" i="16"/>
  <c r="P46" i="16" s="1"/>
  <c r="D46" i="16"/>
  <c r="D43" i="18"/>
  <c r="S33" i="17"/>
  <c r="R33" i="17"/>
  <c r="R37" i="17" s="1"/>
  <c r="R39" i="17" s="1"/>
  <c r="F37" i="17"/>
  <c r="F39" i="17" s="1"/>
  <c r="T33" i="17"/>
  <c r="T37" i="17" s="1"/>
  <c r="T39" i="17" s="1"/>
  <c r="H37" i="17"/>
  <c r="H39" i="17" s="1"/>
  <c r="G45" i="15"/>
  <c r="H23" i="15"/>
  <c r="G19" i="15"/>
  <c r="G41" i="15" s="1"/>
  <c r="G43" i="15" s="1"/>
  <c r="H16" i="15"/>
  <c r="F49" i="15"/>
  <c r="F48" i="15"/>
  <c r="F50" i="15"/>
  <c r="H35" i="15"/>
  <c r="H37" i="15" s="1"/>
  <c r="H39" i="15" s="1"/>
  <c r="I12" i="15"/>
  <c r="G32" i="13"/>
  <c r="G34" i="13" s="1"/>
  <c r="E45" i="18" l="1"/>
  <c r="E7" i="11"/>
  <c r="D45" i="18"/>
  <c r="D7" i="11"/>
  <c r="A19" i="13"/>
  <c r="A20" i="13" s="1"/>
  <c r="A21" i="13" s="1"/>
  <c r="A28" i="19"/>
  <c r="A30" i="19"/>
  <c r="D37" i="17"/>
  <c r="D39" i="17" s="1"/>
  <c r="P33" i="17"/>
  <c r="P37" i="17" s="1"/>
  <c r="P39" i="17" s="1"/>
  <c r="E37" i="17"/>
  <c r="E39" i="17" s="1"/>
  <c r="Q33" i="17"/>
  <c r="Q37" i="17" s="1"/>
  <c r="Q39" i="17" s="1"/>
  <c r="A15" i="17"/>
  <c r="A16" i="17" s="1"/>
  <c r="A17" i="10"/>
  <c r="A19" i="10" s="1"/>
  <c r="A21" i="10" s="1"/>
  <c r="H16" i="8"/>
  <c r="H20" i="8" s="1"/>
  <c r="H24" i="8" s="1"/>
  <c r="G16" i="8"/>
  <c r="S37" i="17"/>
  <c r="S39" i="17" s="1"/>
  <c r="G37" i="17"/>
  <c r="G39" i="17" s="1"/>
  <c r="I46" i="16"/>
  <c r="I48" i="16" s="1"/>
  <c r="U42" i="16"/>
  <c r="U46" i="16" s="1"/>
  <c r="U48" i="16" s="1"/>
  <c r="H46" i="16"/>
  <c r="H48" i="16" s="1"/>
  <c r="T46" i="16"/>
  <c r="T48" i="16" s="1"/>
  <c r="A13" i="12"/>
  <c r="A14" i="12" s="1"/>
  <c r="A16" i="12" s="1"/>
  <c r="H13" i="8"/>
  <c r="Q16" i="8"/>
  <c r="Q20" i="8" s="1"/>
  <c r="I11" i="8"/>
  <c r="I12" i="8"/>
  <c r="I18" i="8" s="1"/>
  <c r="D5" i="11"/>
  <c r="D48" i="16"/>
  <c r="G48" i="16"/>
  <c r="F48" i="16"/>
  <c r="H3" i="8"/>
  <c r="A18" i="15"/>
  <c r="A19" i="15"/>
  <c r="A21" i="15" s="1"/>
  <c r="E5" i="11"/>
  <c r="P48" i="16"/>
  <c r="A23" i="13"/>
  <c r="A27" i="13" s="1"/>
  <c r="E48" i="16"/>
  <c r="I24" i="18"/>
  <c r="I31" i="18" s="1"/>
  <c r="I40" i="18" s="1"/>
  <c r="U40" i="18" s="1"/>
  <c r="U18" i="18"/>
  <c r="U26" i="18" s="1"/>
  <c r="H31" i="18"/>
  <c r="A18" i="18"/>
  <c r="G40" i="18"/>
  <c r="S40" i="18" s="1"/>
  <c r="G41" i="18"/>
  <c r="S41" i="18" s="1"/>
  <c r="G39" i="18"/>
  <c r="F41" i="18"/>
  <c r="R41" i="18" s="1"/>
  <c r="F39" i="18"/>
  <c r="F40" i="18"/>
  <c r="R40" i="18" s="1"/>
  <c r="T18" i="8"/>
  <c r="A24" i="8"/>
  <c r="F52" i="15"/>
  <c r="F55" i="15" s="1"/>
  <c r="E55" i="15"/>
  <c r="R48" i="16"/>
  <c r="S48" i="16"/>
  <c r="Q48" i="16"/>
  <c r="I23" i="15"/>
  <c r="H45" i="15"/>
  <c r="I35" i="15"/>
  <c r="I37" i="15" s="1"/>
  <c r="I39" i="15" s="1"/>
  <c r="I16" i="15"/>
  <c r="H19" i="15"/>
  <c r="H41" i="15" s="1"/>
  <c r="H43" i="15" s="1"/>
  <c r="G50" i="15"/>
  <c r="G49" i="15"/>
  <c r="G48" i="15"/>
  <c r="H32" i="13"/>
  <c r="H34" i="13" s="1"/>
  <c r="D9" i="11" l="1"/>
  <c r="I16" i="8"/>
  <c r="U16" i="8" s="1"/>
  <c r="Q24" i="8"/>
  <c r="I13" i="8"/>
  <c r="I39" i="18"/>
  <c r="U39" i="18" s="1"/>
  <c r="T16" i="8"/>
  <c r="T20" i="8" s="1"/>
  <c r="E9" i="11"/>
  <c r="I41" i="18"/>
  <c r="U41" i="18" s="1"/>
  <c r="I3" i="8"/>
  <c r="A23" i="15"/>
  <c r="A25" i="15" s="1"/>
  <c r="A28" i="15" s="1"/>
  <c r="A18" i="17"/>
  <c r="A17" i="12"/>
  <c r="A18" i="12" s="1"/>
  <c r="A28" i="13"/>
  <c r="U18" i="8"/>
  <c r="A19" i="18"/>
  <c r="H41" i="18"/>
  <c r="T41" i="18" s="1"/>
  <c r="H40" i="18"/>
  <c r="T40" i="18" s="1"/>
  <c r="H39" i="18"/>
  <c r="S39" i="18"/>
  <c r="S43" i="18" s="1"/>
  <c r="G43" i="18"/>
  <c r="G7" i="11" s="1"/>
  <c r="R39" i="18"/>
  <c r="R43" i="18" s="1"/>
  <c r="F43" i="18"/>
  <c r="F7" i="11" s="1"/>
  <c r="H5" i="11"/>
  <c r="I45" i="15"/>
  <c r="H50" i="15"/>
  <c r="H49" i="15"/>
  <c r="H48" i="15"/>
  <c r="I19" i="15"/>
  <c r="I41" i="15" s="1"/>
  <c r="I43" i="15" s="1"/>
  <c r="G52" i="15"/>
  <c r="I32" i="13"/>
  <c r="I34" i="13" s="1"/>
  <c r="A29" i="15" l="1"/>
  <c r="A30" i="15" s="1"/>
  <c r="A19" i="12"/>
  <c r="A20" i="12" s="1"/>
  <c r="A21" i="12" s="1"/>
  <c r="I43" i="18"/>
  <c r="I7" i="11" s="1"/>
  <c r="U43" i="18"/>
  <c r="U20" i="8"/>
  <c r="U24" i="8" s="1"/>
  <c r="I20" i="8"/>
  <c r="I24" i="8" s="1"/>
  <c r="A34" i="15"/>
  <c r="A35" i="15"/>
  <c r="A37" i="15" s="1"/>
  <c r="A39" i="15" s="1"/>
  <c r="A41" i="15" s="1"/>
  <c r="A42" i="15" s="1"/>
  <c r="A43" i="15" s="1"/>
  <c r="A21" i="17"/>
  <c r="G45" i="18"/>
  <c r="I45" i="18"/>
  <c r="F45" i="18"/>
  <c r="A29" i="13"/>
  <c r="T24" i="8"/>
  <c r="T39" i="18"/>
  <c r="T43" i="18" s="1"/>
  <c r="H43" i="18"/>
  <c r="H7" i="11" s="1"/>
  <c r="A20" i="18"/>
  <c r="I48" i="15"/>
  <c r="I49" i="15"/>
  <c r="I50" i="15"/>
  <c r="H52" i="15"/>
  <c r="G55" i="15"/>
  <c r="A22" i="12" l="1"/>
  <c r="A24" i="12" s="1"/>
  <c r="A26" i="12" s="1"/>
  <c r="I5" i="11"/>
  <c r="U45" i="18"/>
  <c r="H9" i="11"/>
  <c r="A45" i="15"/>
  <c r="A48" i="15" s="1"/>
  <c r="A49" i="15" s="1"/>
  <c r="A23" i="17"/>
  <c r="A25" i="17" s="1"/>
  <c r="A29" i="17" s="1"/>
  <c r="H45" i="18"/>
  <c r="A30" i="13"/>
  <c r="A21" i="18"/>
  <c r="I52" i="15"/>
  <c r="H55" i="15"/>
  <c r="A50" i="15" l="1"/>
  <c r="A52" i="15" s="1"/>
  <c r="A55" i="15" s="1"/>
  <c r="A30" i="17"/>
  <c r="A31" i="17" s="1"/>
  <c r="A32" i="17" s="1"/>
  <c r="A33" i="17" s="1"/>
  <c r="A34" i="17" s="1"/>
  <c r="A35" i="17" s="1"/>
  <c r="A37" i="17" s="1"/>
  <c r="A39" i="17" s="1"/>
  <c r="I9" i="11"/>
  <c r="A32" i="13"/>
  <c r="A22" i="18"/>
  <c r="I55" i="15"/>
  <c r="A34" i="13" l="1"/>
  <c r="A23" i="18"/>
  <c r="A24" i="18" l="1"/>
  <c r="A10" i="16" l="1"/>
  <c r="A11" i="16" s="1"/>
  <c r="A12" i="16" s="1"/>
  <c r="A27" i="18"/>
  <c r="A29" i="18" s="1"/>
  <c r="A31" i="18" s="1"/>
  <c r="A7" i="3"/>
  <c r="A13" i="16" l="1"/>
  <c r="A14" i="16" s="1"/>
  <c r="A15" i="16" s="1"/>
  <c r="A16" i="16" s="1"/>
  <c r="A17" i="16" s="1"/>
  <c r="A18" i="16" s="1"/>
  <c r="A19" i="16" s="1"/>
  <c r="A20" i="16" s="1"/>
  <c r="A21" i="16" s="1"/>
  <c r="A35" i="18"/>
  <c r="A36" i="18" s="1"/>
  <c r="A37" i="18" s="1"/>
  <c r="A38" i="18" s="1"/>
  <c r="A39" i="18" s="1"/>
  <c r="A40" i="18" s="1"/>
  <c r="A9" i="3"/>
  <c r="A12" i="3" s="1"/>
  <c r="A22" i="16" l="1"/>
  <c r="A23" i="16" s="1"/>
  <c r="A41" i="18"/>
  <c r="A43" i="18" s="1"/>
  <c r="A45" i="18" s="1"/>
  <c r="A13" i="3"/>
  <c r="A24" i="16" l="1"/>
  <c r="A14" i="3"/>
  <c r="A25" i="16" l="1"/>
  <c r="A17" i="3"/>
  <c r="A26" i="16" l="1"/>
  <c r="A18" i="3"/>
  <c r="A27" i="16" l="1"/>
  <c r="A28" i="16" s="1"/>
  <c r="A29" i="16" s="1"/>
  <c r="A19" i="3"/>
  <c r="A20" i="3"/>
  <c r="A25" i="3" s="1"/>
  <c r="A26" i="3" s="1"/>
  <c r="A28" i="3" s="1"/>
  <c r="A30" i="3" s="1"/>
  <c r="A30" i="16" l="1"/>
  <c r="A32" i="16" s="1"/>
  <c r="A34" i="16" s="1"/>
  <c r="A38" i="16" s="1"/>
  <c r="A39" i="16" s="1"/>
  <c r="A40" i="16" s="1"/>
  <c r="A41" i="16" s="1"/>
  <c r="A42" i="16" s="1"/>
  <c r="A43" i="16" s="1"/>
  <c r="A44" i="16" s="1"/>
  <c r="A46" i="16" s="1"/>
  <c r="A48" i="16" s="1"/>
  <c r="R45" i="18"/>
  <c r="S45" i="18"/>
  <c r="T45" i="18"/>
  <c r="O45" i="18"/>
  <c r="P45" i="18"/>
  <c r="R16" i="8" l="1"/>
  <c r="S16" i="8" l="1"/>
  <c r="F13" i="8"/>
  <c r="G13" i="8" l="1"/>
  <c r="F20" i="8"/>
  <c r="R18" i="8"/>
  <c r="R20" i="8" s="1"/>
  <c r="R24" i="8" l="1"/>
  <c r="F24" i="8"/>
  <c r="F5" i="11"/>
  <c r="F9" i="11" s="1"/>
  <c r="S18" i="8"/>
  <c r="S20" i="8" s="1"/>
  <c r="G20" i="8"/>
  <c r="G5" i="11" l="1"/>
  <c r="G9" i="11" s="1"/>
  <c r="G24" i="8"/>
  <c r="S24" i="8"/>
</calcChain>
</file>

<file path=xl/sharedStrings.xml><?xml version="1.0" encoding="utf-8"?>
<sst xmlns="http://schemas.openxmlformats.org/spreadsheetml/2006/main" count="393" uniqueCount="184">
  <si>
    <t>O&amp;M Adjustment #1 - SMIP/GARP Funding</t>
  </si>
  <si>
    <t>Line. No.</t>
  </si>
  <si>
    <t>Planning &amp; Engineering</t>
  </si>
  <si>
    <t>COST BASIS</t>
  </si>
  <si>
    <t>Actual to Budget</t>
  </si>
  <si>
    <t>Inflation Factors</t>
  </si>
  <si>
    <t>Factor</t>
  </si>
  <si>
    <t>Inflation Factor</t>
  </si>
  <si>
    <t>ADJUSTMENTS</t>
  </si>
  <si>
    <t>Finance</t>
  </si>
  <si>
    <t>Additional SMIP/GARP Costs</t>
  </si>
  <si>
    <t>TOTAL DIRECT ADJUSTMENTS</t>
  </si>
  <si>
    <t>Notes:</t>
  </si>
  <si>
    <t xml:space="preserve">Reflects temporary reduction of SMIP/GARP budget in FY 2024 and FY 2025. </t>
  </si>
  <si>
    <t>O&amp;M Adjustment #2 - Shift Capital Staff Costs to O&amp;M</t>
  </si>
  <si>
    <t>Description</t>
  </si>
  <si>
    <t>Class 100 Inflation Factor</t>
  </si>
  <si>
    <t>FY 2024 Cumulative Factor</t>
  </si>
  <si>
    <t>Years of Shifted Staff</t>
  </si>
  <si>
    <t>Staff Costs (in FY 2021 $)</t>
  </si>
  <si>
    <t>Ratio Basis</t>
  </si>
  <si>
    <t>Planning &amp; Env Services</t>
  </si>
  <si>
    <t>Construction &amp; Engineering</t>
  </si>
  <si>
    <t>Subtotal</t>
  </si>
  <si>
    <t>Class 100</t>
  </si>
  <si>
    <t>P&amp;E</t>
  </si>
  <si>
    <t>C&amp;E</t>
  </si>
  <si>
    <t>Total Direct Adjustments</t>
  </si>
  <si>
    <t>Total Inter Dept Adjustments</t>
  </si>
  <si>
    <t>Total Adjustments (Line 8 + Line 9)</t>
  </si>
  <si>
    <t xml:space="preserve">This reflects a shift in existing staffing. Pension and Benefits expenses were previously transferred to operating. </t>
  </si>
  <si>
    <t>O&amp;M Adjustment #3 - Contract Services</t>
  </si>
  <si>
    <t>CITY GRANTS</t>
  </si>
  <si>
    <t>Class 200 Inflation Factor</t>
  </si>
  <si>
    <t>Cumulative Factor</t>
  </si>
  <si>
    <t>Class 200 (FY 2023 $)</t>
  </si>
  <si>
    <t>Human Resources and Admin</t>
  </si>
  <si>
    <t>Operations</t>
  </si>
  <si>
    <t>Public Affairs</t>
  </si>
  <si>
    <t>Total Inflated Costs</t>
  </si>
  <si>
    <t>Total Adjustments</t>
  </si>
  <si>
    <t xml:space="preserve">Notes: </t>
  </si>
  <si>
    <t xml:space="preserve">Increases due to rising costs of contract services and maintenance costs in classes 250 and 260. </t>
  </si>
  <si>
    <t>O&amp;M Adjustment #4 - Equipment</t>
  </si>
  <si>
    <t>Indemnities</t>
  </si>
  <si>
    <t>Class 400 Inflation Factor</t>
  </si>
  <si>
    <t>Class 400 (FY 2024 $)</t>
  </si>
  <si>
    <t>Expenses cover the ongoing necessary equipment expenses including furniture, PFA spectrometers, radios, and repeaters.</t>
  </si>
  <si>
    <t>O&amp;M Adjustment #5 - Materials &amp; Supplies</t>
  </si>
  <si>
    <t xml:space="preserve">NOT UTILIZED IN THE ANALYSIS </t>
  </si>
  <si>
    <t>STAFFING</t>
  </si>
  <si>
    <t>Class 300 Inflation Factor</t>
  </si>
  <si>
    <t>Additional Costs (2024 $)</t>
  </si>
  <si>
    <t>Class 300 (FY 2024 $)</t>
  </si>
  <si>
    <t xml:space="preserve">  </t>
  </si>
  <si>
    <t>Inflated Costs</t>
  </si>
  <si>
    <t>xxxxxxxxxxxxxxxx</t>
  </si>
  <si>
    <t>FY 2024</t>
  </si>
  <si>
    <t>Increases cover the cost of ongoing supplies needed for inlet protection and plant maintenance.</t>
  </si>
  <si>
    <t>O&amp;M Adjustment #6 - Additional Regulatory Compliance Staffing (GSI)</t>
  </si>
  <si>
    <t>FY 2023 Cumulative Factor</t>
  </si>
  <si>
    <t>Operations (GSI Maint)</t>
  </si>
  <si>
    <t>Additional Staffing (2023 $)</t>
  </si>
  <si>
    <t>FY 2026</t>
  </si>
  <si>
    <t>FY 2027</t>
  </si>
  <si>
    <t>FY 2028</t>
  </si>
  <si>
    <t>FY 2029</t>
  </si>
  <si>
    <t>FY 2030</t>
  </si>
  <si>
    <t>FY 2031</t>
  </si>
  <si>
    <t>FY 2032</t>
  </si>
  <si>
    <t>FY 2033</t>
  </si>
  <si>
    <t>FY 2034</t>
  </si>
  <si>
    <t>FY 2035</t>
  </si>
  <si>
    <t>FY 2036</t>
  </si>
  <si>
    <t>FY 2037</t>
  </si>
  <si>
    <t>FY 2038</t>
  </si>
  <si>
    <t>FY 2039</t>
  </si>
  <si>
    <t>FY 2040</t>
  </si>
  <si>
    <t>FY 2041</t>
  </si>
  <si>
    <t>FY 2042</t>
  </si>
  <si>
    <t>FY 2043</t>
  </si>
  <si>
    <t>FY 2044</t>
  </si>
  <si>
    <t>FY 2045</t>
  </si>
  <si>
    <t>City Finance - Pension &amp; Fringes</t>
  </si>
  <si>
    <t>Water Fund Salary Ratios [See Pension &amp; Fringes Ratio Worksheet]</t>
  </si>
  <si>
    <t>Benefits</t>
  </si>
  <si>
    <t>Pension</t>
  </si>
  <si>
    <t>Pension Obligations</t>
  </si>
  <si>
    <t>Total</t>
  </si>
  <si>
    <t>Benefits (Line 12 x Line 13)</t>
  </si>
  <si>
    <t>Pension (Line 12 x Line 14)</t>
  </si>
  <si>
    <t>Pension Obligations (Line 12 x Line 15)</t>
  </si>
  <si>
    <t>O&amp;M Adjustment #7 - XXXXXXXXXXXXXX</t>
  </si>
  <si>
    <t>ADJUSTMENT NOT IN USE</t>
  </si>
  <si>
    <t>Operations (Inlet Cleaning)</t>
  </si>
  <si>
    <t>Additional Staffing (2021 $)</t>
  </si>
  <si>
    <t>FY 2023</t>
  </si>
  <si>
    <t>FY 2025</t>
  </si>
  <si>
    <t>xxxxxxxxxxxx</t>
  </si>
  <si>
    <t>FY 2022</t>
  </si>
  <si>
    <t>O&amp;M Adjustment #8 - FY 2024 Additional Staffing Needs</t>
  </si>
  <si>
    <t>Staff Costs</t>
  </si>
  <si>
    <t>HR / Admin</t>
  </si>
  <si>
    <t xml:space="preserve">Operations </t>
  </si>
  <si>
    <t>Planning &amp; Environmental Services</t>
  </si>
  <si>
    <t>xxxxxxxxxxxxxx</t>
  </si>
  <si>
    <t>Notes: PWD anticipates 25% of the salary associated with the 70 new positions to be added in FY 2024 and the remaining 75% to be added in FY 2025.</t>
  </si>
  <si>
    <t>O&amp;M Adjustment #9 - FY 2024 Additional Energy and Chemical Costs</t>
  </si>
  <si>
    <t>Class 220 Inflation Factor (Power)</t>
  </si>
  <si>
    <t>Class 221 Inflation Factor (Gas)</t>
  </si>
  <si>
    <t>Class 307 Inflation Factor (Chemicals)</t>
  </si>
  <si>
    <t>Cumulative Class 220</t>
  </si>
  <si>
    <t>Cumulative Class 221</t>
  </si>
  <si>
    <t>Cumulative Class 307</t>
  </si>
  <si>
    <t>2024 $</t>
  </si>
  <si>
    <t>Power</t>
  </si>
  <si>
    <t>Gas</t>
  </si>
  <si>
    <t>Chemicals</t>
  </si>
  <si>
    <t>xxxxxxxxxxxxxxxxxx</t>
  </si>
  <si>
    <t>O&amp;M Adjustment #10 - XXXXXXXXXXXX</t>
  </si>
  <si>
    <t>Line No.</t>
  </si>
  <si>
    <t>Cumulative Class 100</t>
  </si>
  <si>
    <t>Cumulative Class 200</t>
  </si>
  <si>
    <t>Cumulative Class 300</t>
  </si>
  <si>
    <t>Cumulative Class 400</t>
  </si>
  <si>
    <t>Class 200</t>
  </si>
  <si>
    <t>Class 300</t>
  </si>
  <si>
    <t>Class 400</t>
  </si>
  <si>
    <t>Total Operations</t>
  </si>
  <si>
    <t>Total Inflated Operations</t>
  </si>
  <si>
    <t>O&amp;M Adjustment #11 - xxxxxxxxxxxxxxx</t>
  </si>
  <si>
    <t xml:space="preserve">Inflation Factors </t>
  </si>
  <si>
    <t>Class 200 Inflation Factor - Properties</t>
  </si>
  <si>
    <t>Class 200 - Base Cost (FY 2021 Costs) Adjusted for Inflation</t>
  </si>
  <si>
    <t>xxxxxxxxxxxxx</t>
  </si>
  <si>
    <t>Annual CAP Administration - Base Cost (FY 2015 Costs) Adjusted for Inflation</t>
  </si>
  <si>
    <t>Salary</t>
  </si>
  <si>
    <t>Fringes and benefits</t>
  </si>
  <si>
    <t>TOTAL</t>
  </si>
  <si>
    <t>Water Fund Salary Ratio (Percentage of Salary) [See Pension &amp; Fringes Ratio Worksheet]</t>
  </si>
  <si>
    <t>Pension Obligation</t>
  </si>
  <si>
    <t>Finance &amp; Admin - Class 200 (Excludes Reduction in City Grants)</t>
  </si>
  <si>
    <t>Direct (Line 18)</t>
  </si>
  <si>
    <t>WRB - Class 100</t>
  </si>
  <si>
    <t>Cost Basis (Line 9)</t>
  </si>
  <si>
    <r>
      <t>Cost Factor</t>
    </r>
    <r>
      <rPr>
        <vertAlign val="superscript"/>
        <sz val="11"/>
        <rFont val="Calibri"/>
        <family val="2"/>
        <scheme val="minor"/>
      </rPr>
      <t>4</t>
    </r>
  </si>
  <si>
    <t>Projected Cost (Line 20 x Line 21)</t>
  </si>
  <si>
    <t>WRB - Class 200</t>
  </si>
  <si>
    <t>WRB - Class 200 (Line 11)</t>
  </si>
  <si>
    <t>City Finance</t>
  </si>
  <si>
    <t>Benefits (Line 22 x Line 13)</t>
  </si>
  <si>
    <t>Pension (Line 22 x Line 14)</t>
  </si>
  <si>
    <t>Pension Obligation (Line 22 x Line 15)</t>
  </si>
  <si>
    <t>Total Inter Depart Adjustments</t>
  </si>
  <si>
    <t>Total Adjustment</t>
  </si>
  <si>
    <t>Total Adjustments (Lines 19 + 27)</t>
  </si>
  <si>
    <t>Pension &amp; Fringes Ratios</t>
  </si>
  <si>
    <t xml:space="preserve">Line No. </t>
  </si>
  <si>
    <t>Class Code</t>
  </si>
  <si>
    <t>Projected Water Fund Class 100 Costs (Source:  Workpaper Financial Plan Model, Other Dept O&amp;M - 7)</t>
  </si>
  <si>
    <t>Salaries &amp; Wages</t>
  </si>
  <si>
    <t>Source:</t>
  </si>
  <si>
    <t>Other Dept O&amp;M, Rows 891 to 894</t>
  </si>
  <si>
    <t>1xx</t>
  </si>
  <si>
    <t>NOTE:  TURN OFF O&amp;M ADJSUSTMENTS</t>
  </si>
  <si>
    <t>Water Fund Salary Ratios (Percentage of Salary)</t>
  </si>
  <si>
    <t>Benefits (Line 2 / Line 1)</t>
  </si>
  <si>
    <t>Pension (Line 3 / Line 1)</t>
  </si>
  <si>
    <t>Pension Obligations (Line 4 / Line 1)</t>
  </si>
  <si>
    <t>Water Fund Class 100 Distribution</t>
  </si>
  <si>
    <t>Salaries &amp; Wages (Line 1 / Line 5)</t>
  </si>
  <si>
    <t>Benefits (Line 2 / Line 5)</t>
  </si>
  <si>
    <t>Pension (Line 3 / Line 5)</t>
  </si>
  <si>
    <t>Pension Obligations (Line 4 / Line 5)</t>
  </si>
  <si>
    <t>CHECK</t>
  </si>
  <si>
    <t xml:space="preserve">Direct </t>
  </si>
  <si>
    <t>Finplan Model Direct O&amp;M-1, Row 288</t>
  </si>
  <si>
    <t>Other Departments</t>
  </si>
  <si>
    <t>Finplan Model Other Dept O&amp;M-1, Row 444</t>
  </si>
  <si>
    <t>Difference</t>
  </si>
  <si>
    <t xml:space="preserve">TOTAL ADJUSTMENTS </t>
  </si>
  <si>
    <t>DIRECT</t>
  </si>
  <si>
    <t>INTER DEPARTMENTAL</t>
  </si>
  <si>
    <t xml:space="preserve">Not input into Financial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</si>
</sst>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\(0\)"/>
    <numFmt numFmtId="167" formatCode="&quot;$&quot;#,##0.00"/>
    <numFmt numFmtId="168" formatCode="&quot;$&quot;#,##0\ ;\(&quot;$&quot;#,##0\)"/>
    <numFmt numFmtId="169" formatCode="00000"/>
    <numFmt numFmtId="170" formatCode="#,##0.0000_);\(#,##0.0000\)"/>
    <numFmt numFmtId="171" formatCode="#,##0.00000000000;[Red]\-#,##0.00000000000"/>
    <numFmt numFmtId="172" formatCode="0.00_)"/>
    <numFmt numFmtId="173" formatCode="0.00000_)"/>
    <numFmt numFmtId="174" formatCode="dd\-mmm\-yy_)"/>
    <numFmt numFmtId="175" formatCode="_(&quot;$&quot;* #,##0.0000_);_(&quot;$&quot;* \(#,##0.0000\);_(&quot;$&quot;* &quot;-&quot;????_);_(@_)"/>
    <numFmt numFmtId="176" formatCode="0.000000"/>
    <numFmt numFmtId="177" formatCode="0%;;"/>
    <numFmt numFmtId="178" formatCode="m/d/yy;;"/>
    <numFmt numFmtId="179" formatCode="0&quot; days&quot;;;"/>
    <numFmt numFmtId="180" formatCode="0;;;"/>
    <numFmt numFmtId="181" formatCode=";;;"/>
    <numFmt numFmtId="182" formatCode="#,##0_);[Red]\(#,##0\);"/>
    <numFmt numFmtId="183" formatCode="#,##0.000_);[Red]\(#,##0.000\);"/>
    <numFmt numFmtId="184" formatCode="0.000%;;"/>
    <numFmt numFmtId="185" formatCode="General;;"/>
    <numFmt numFmtId="186" formatCode="0.00&quot; years&quot;;;"/>
    <numFmt numFmtId="187" formatCode="&quot;Yes&quot;;;&quot;No&quot;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u val="singleAccounting"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mbria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9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Courier"/>
      <family val="3"/>
    </font>
    <font>
      <shadow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i/>
      <shadow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theme="1"/>
      <name val="Times New Roman"/>
      <family val="1"/>
    </font>
    <font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Arial"/>
      <family val="2"/>
    </font>
    <font>
      <b/>
      <sz val="10"/>
      <name val="Arial"/>
      <family val="2"/>
    </font>
    <font>
      <shadow/>
      <sz val="10"/>
      <color indexed="16"/>
      <name val="Times New Roman"/>
      <family val="1"/>
    </font>
    <font>
      <i/>
      <shadow/>
      <sz val="10"/>
      <color indexed="14"/>
      <name val="Times New Roman"/>
      <family val="1"/>
    </font>
    <font>
      <sz val="10"/>
      <color indexed="16"/>
      <name val="Times New Roman"/>
      <family val="1"/>
    </font>
    <font>
      <sz val="11"/>
      <color indexed="60"/>
      <name val="Calibri"/>
      <family val="2"/>
    </font>
    <font>
      <sz val="12"/>
      <name val="Arial MT"/>
    </font>
    <font>
      <sz val="10"/>
      <name val="Courier"/>
      <family val="3"/>
    </font>
    <font>
      <sz val="10"/>
      <name val="Tms Rmn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8"/>
      <name val="Times New Roman"/>
      <family val="1"/>
    </font>
    <font>
      <sz val="8"/>
      <color indexed="8"/>
      <name val="Times New Roman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hadow/>
      <sz val="10"/>
      <color theme="1"/>
      <name val="Times New Roman"/>
      <family val="1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0"/>
      <color indexed="23"/>
      <name val="Times New Roman"/>
      <family val="1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  <font>
      <b/>
      <sz val="11"/>
      <color indexed="52"/>
      <name val="Calibri"/>
      <family val="2"/>
      <scheme val="minor"/>
    </font>
    <font>
      <sz val="8"/>
      <color indexed="62"/>
      <name val="Times New Roman"/>
      <family val="1"/>
    </font>
    <font>
      <sz val="8"/>
      <color indexed="21"/>
      <name val="Times New Roman"/>
      <family val="1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8"/>
      <color indexed="57"/>
      <name val="Times New Roman"/>
      <family val="1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i/>
      <sz val="10"/>
      <name val="Times New Roman"/>
      <family val="1"/>
    </font>
    <font>
      <b/>
      <sz val="18"/>
      <color indexed="56"/>
      <name val="Cambria"/>
      <family val="2"/>
      <scheme val="major"/>
    </font>
    <font>
      <sz val="10"/>
      <color indexed="10"/>
      <name val="Times New Roman"/>
      <family val="1"/>
    </font>
    <font>
      <u/>
      <sz val="10"/>
      <color indexed="12"/>
      <name val="Times New Roman"/>
      <family val="1"/>
    </font>
    <font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8"/>
      </patternFill>
    </fill>
    <fill>
      <patternFill patternType="gray0625">
        <fgColor indexed="8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DDF2FF"/>
        <bgColor indexed="11"/>
      </patternFill>
    </fill>
    <fill>
      <patternFill patternType="solid">
        <fgColor indexed="43"/>
      </patternFill>
    </fill>
    <fill>
      <patternFill patternType="solid">
        <fgColor theme="0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47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46"/>
      </patternFill>
    </fill>
    <fill>
      <patternFill patternType="solid">
        <fgColor indexed="3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4" fillId="0" borderId="0"/>
    <xf numFmtId="8" fontId="4" fillId="0" borderId="0" applyFont="0" applyFill="0" applyBorder="0" applyAlignment="0" applyProtection="0"/>
    <xf numFmtId="0" fontId="20" fillId="0" borderId="0">
      <alignment horizontal="centerContinuous"/>
    </xf>
    <xf numFmtId="0" fontId="26" fillId="0" borderId="0"/>
    <xf numFmtId="0" fontId="26" fillId="0" borderId="0"/>
    <xf numFmtId="0" fontId="1" fillId="0" borderId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9" fillId="0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30" fillId="4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30" fillId="4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30" fillId="4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30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30" fillId="4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0" fillId="5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30" fillId="5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30" fillId="5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30" fillId="5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30" fillId="4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0" fillId="5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30" fillId="5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1" fillId="55" borderId="0" applyNumberFormat="0" applyBorder="0" applyAlignment="0" applyProtection="0"/>
    <xf numFmtId="0" fontId="19" fillId="14" borderId="0" applyNumberFormat="0" applyBorder="0" applyAlignment="0" applyProtection="0"/>
    <xf numFmtId="0" fontId="31" fillId="52" borderId="0" applyNumberFormat="0" applyBorder="0" applyAlignment="0" applyProtection="0"/>
    <xf numFmtId="0" fontId="19" fillId="18" borderId="0" applyNumberFormat="0" applyBorder="0" applyAlignment="0" applyProtection="0"/>
    <xf numFmtId="0" fontId="31" fillId="53" borderId="0" applyNumberFormat="0" applyBorder="0" applyAlignment="0" applyProtection="0"/>
    <xf numFmtId="0" fontId="19" fillId="22" borderId="0" applyNumberFormat="0" applyBorder="0" applyAlignment="0" applyProtection="0"/>
    <xf numFmtId="0" fontId="31" fillId="56" borderId="0" applyNumberFormat="0" applyBorder="0" applyAlignment="0" applyProtection="0"/>
    <xf numFmtId="0" fontId="19" fillId="26" borderId="0" applyNumberFormat="0" applyBorder="0" applyAlignment="0" applyProtection="0"/>
    <xf numFmtId="0" fontId="31" fillId="57" borderId="0" applyNumberFormat="0" applyBorder="0" applyAlignment="0" applyProtection="0"/>
    <xf numFmtId="0" fontId="19" fillId="30" borderId="0" applyNumberFormat="0" applyBorder="0" applyAlignment="0" applyProtection="0"/>
    <xf numFmtId="0" fontId="31" fillId="58" borderId="0" applyNumberFormat="0" applyBorder="0" applyAlignment="0" applyProtection="0"/>
    <xf numFmtId="0" fontId="19" fillId="34" borderId="0" applyNumberFormat="0" applyBorder="0" applyAlignment="0" applyProtection="0"/>
    <xf numFmtId="0" fontId="31" fillId="59" borderId="0" applyNumberFormat="0" applyBorder="0" applyAlignment="0" applyProtection="0"/>
    <xf numFmtId="0" fontId="19" fillId="11" borderId="0" applyNumberFormat="0" applyBorder="0" applyAlignment="0" applyProtection="0"/>
    <xf numFmtId="0" fontId="31" fillId="60" borderId="0" applyNumberFormat="0" applyBorder="0" applyAlignment="0" applyProtection="0"/>
    <xf numFmtId="0" fontId="19" fillId="15" borderId="0" applyNumberFormat="0" applyBorder="0" applyAlignment="0" applyProtection="0"/>
    <xf numFmtId="0" fontId="31" fillId="61" borderId="0" applyNumberFormat="0" applyBorder="0" applyAlignment="0" applyProtection="0"/>
    <xf numFmtId="0" fontId="19" fillId="19" borderId="0" applyNumberFormat="0" applyBorder="0" applyAlignment="0" applyProtection="0"/>
    <xf numFmtId="0" fontId="31" fillId="56" borderId="0" applyNumberFormat="0" applyBorder="0" applyAlignment="0" applyProtection="0"/>
    <xf numFmtId="0" fontId="19" fillId="23" borderId="0" applyNumberFormat="0" applyBorder="0" applyAlignment="0" applyProtection="0"/>
    <xf numFmtId="0" fontId="31" fillId="57" borderId="0" applyNumberFormat="0" applyBorder="0" applyAlignment="0" applyProtection="0"/>
    <xf numFmtId="0" fontId="19" fillId="27" borderId="0" applyNumberFormat="0" applyBorder="0" applyAlignment="0" applyProtection="0"/>
    <xf numFmtId="0" fontId="31" fillId="62" borderId="0" applyNumberFormat="0" applyBorder="0" applyAlignment="0" applyProtection="0"/>
    <xf numFmtId="0" fontId="19" fillId="31" borderId="0" applyNumberFormat="0" applyBorder="0" applyAlignment="0" applyProtection="0"/>
    <xf numFmtId="0" fontId="32" fillId="46" borderId="0" applyNumberFormat="0" applyBorder="0" applyAlignment="0" applyProtection="0"/>
    <xf numFmtId="0" fontId="10" fillId="5" borderId="0" applyNumberFormat="0" applyBorder="0" applyAlignment="0" applyProtection="0"/>
    <xf numFmtId="0" fontId="33" fillId="63" borderId="16" applyNumberFormat="0" applyAlignment="0" applyProtection="0"/>
    <xf numFmtId="0" fontId="14" fillId="8" borderId="4" applyNumberFormat="0" applyAlignment="0" applyProtection="0"/>
    <xf numFmtId="0" fontId="34" fillId="64" borderId="17" applyNumberFormat="0" applyAlignment="0" applyProtection="0"/>
    <xf numFmtId="0" fontId="16" fillId="9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36" fillId="0" borderId="0" applyFont="0" applyFill="0" applyBorder="0" applyAlignment="0" applyProtection="0"/>
    <xf numFmtId="169" fontId="36" fillId="0" borderId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3" fillId="47" borderId="0" applyNumberFormat="0" applyBorder="0" applyAlignment="0" applyProtection="0"/>
    <xf numFmtId="0" fontId="9" fillId="4" borderId="0" applyNumberFormat="0" applyBorder="0" applyAlignment="0" applyProtection="0"/>
    <xf numFmtId="38" fontId="44" fillId="65" borderId="0" applyNumberFormat="0" applyBorder="0" applyAlignment="0" applyProtection="0"/>
    <xf numFmtId="0" fontId="45" fillId="0" borderId="18" applyNumberFormat="0" applyFill="0" applyAlignment="0" applyProtection="0"/>
    <xf numFmtId="0" fontId="6" fillId="0" borderId="1" applyNumberFormat="0" applyFill="0" applyAlignment="0" applyProtection="0"/>
    <xf numFmtId="0" fontId="46" fillId="0" borderId="19" applyNumberFormat="0" applyFill="0" applyAlignment="0" applyProtection="0"/>
    <xf numFmtId="0" fontId="7" fillId="0" borderId="2" applyNumberFormat="0" applyFill="0" applyAlignment="0" applyProtection="0"/>
    <xf numFmtId="0" fontId="47" fillId="0" borderId="20" applyNumberFormat="0" applyFill="0" applyAlignment="0" applyProtection="0"/>
    <xf numFmtId="0" fontId="8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48" fillId="0" borderId="0"/>
    <xf numFmtId="40" fontId="48" fillId="0" borderId="0"/>
    <xf numFmtId="0" fontId="49" fillId="0" borderId="0">
      <alignment horizontal="left"/>
    </xf>
    <xf numFmtId="3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0" fontId="44" fillId="44" borderId="21" applyNumberFormat="0" applyBorder="0" applyAlignment="0" applyProtection="0"/>
    <xf numFmtId="0" fontId="12" fillId="7" borderId="4" applyNumberFormat="0" applyAlignment="0" applyProtection="0"/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0" fontId="12" fillId="7" borderId="4" applyNumberFormat="0" applyAlignment="0" applyProtection="0"/>
    <xf numFmtId="37" fontId="53" fillId="66" borderId="0" applyNumberFormat="0" applyBorder="0" applyAlignment="0">
      <protection locked="0"/>
    </xf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54" fillId="50" borderId="16" applyNumberFormat="0" applyAlignment="0" applyProtection="0"/>
    <xf numFmtId="39" fontId="55" fillId="0" borderId="0" applyNumberFormat="0" applyBorder="0" applyAlignment="0">
      <protection locked="0"/>
    </xf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3" fontId="53" fillId="67" borderId="22" applyBorder="0">
      <alignment vertical="center"/>
      <protection locked="0"/>
    </xf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3" fontId="53" fillId="67" borderId="22" applyBorder="0">
      <alignment vertical="center"/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0" fontId="12" fillId="7" borderId="4" applyNumberFormat="0" applyAlignment="0" applyProtection="0"/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0" fontId="12" fillId="7" borderId="4" applyNumberFormat="0" applyAlignment="0" applyProtection="0"/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0" fontId="12" fillId="7" borderId="4" applyNumberFormat="0" applyAlignment="0" applyProtection="0"/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6" fillId="68" borderId="0" applyNumberFormat="0" applyBorder="0" applyAlignment="0">
      <protection locked="0"/>
    </xf>
    <xf numFmtId="37" fontId="56" fillId="68" borderId="0" applyNumberFormat="0" applyBorder="0" applyAlignment="0">
      <protection locked="0"/>
    </xf>
    <xf numFmtId="37" fontId="56" fillId="68" borderId="0" applyNumberFormat="0" applyBorder="0" applyAlignment="0">
      <protection locked="0"/>
    </xf>
    <xf numFmtId="37" fontId="56" fillId="68" borderId="0" applyNumberFormat="0" applyBorder="0" applyAlignment="0">
      <protection locked="0"/>
    </xf>
    <xf numFmtId="37" fontId="56" fillId="68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0" fontId="12" fillId="35" borderId="0" applyNumberFormat="0" applyAlignment="0">
      <protection locked="0"/>
    </xf>
    <xf numFmtId="0" fontId="12" fillId="7" borderId="4" applyNumberFormat="0" applyAlignment="0" applyProtection="0"/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7" borderId="4" applyNumberFormat="0" applyAlignment="0" applyProtection="0"/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0" fontId="12" fillId="35" borderId="0" applyNumberFormat="0" applyAlignment="0">
      <protection locked="0"/>
    </xf>
    <xf numFmtId="1" fontId="53" fillId="69" borderId="0">
      <alignment horizontal="center"/>
      <protection locked="0"/>
    </xf>
    <xf numFmtId="0" fontId="57" fillId="0" borderId="23" applyNumberFormat="0" applyFill="0" applyAlignment="0" applyProtection="0"/>
    <xf numFmtId="0" fontId="15" fillId="0" borderId="6" applyNumberFormat="0" applyFill="0" applyAlignment="0" applyProtection="0"/>
    <xf numFmtId="37" fontId="58" fillId="70" borderId="0" applyNumberFormat="0" applyAlignment="0"/>
    <xf numFmtId="10" fontId="59" fillId="3" borderId="0" applyNumberFormat="0" applyBorder="0" applyAlignment="0" applyProtection="0">
      <alignment horizontal="right"/>
      <protection locked="0"/>
    </xf>
    <xf numFmtId="170" fontId="60" fillId="71" borderId="24"/>
    <xf numFmtId="0" fontId="29" fillId="0" borderId="0" applyNumberFormat="0" applyBorder="0" applyAlignment="0" applyProtection="0"/>
    <xf numFmtId="0" fontId="35" fillId="0" borderId="0" applyNumberFormat="0" applyBorder="0" applyAlignment="0" applyProtection="0"/>
    <xf numFmtId="0" fontId="35" fillId="0" borderId="0" applyNumberFormat="0" applyBorder="0" applyAlignment="0" applyProtection="0"/>
    <xf numFmtId="0" fontId="61" fillId="69" borderId="0" applyNumberFormat="0" applyBorder="0" applyAlignment="0" applyProtection="0"/>
    <xf numFmtId="0" fontId="62" fillId="0" borderId="10" applyNumberFormat="0" applyBorder="0">
      <alignment horizontal="center"/>
    </xf>
    <xf numFmtId="0" fontId="28" fillId="72" borderId="25" applyNumberFormat="0" applyBorder="0" applyAlignment="0" applyProtection="0"/>
    <xf numFmtId="44" fontId="63" fillId="0" borderId="26" applyNumberFormat="0" applyFont="0" applyAlignment="0">
      <alignment horizontal="center"/>
    </xf>
    <xf numFmtId="44" fontId="63" fillId="0" borderId="27" applyNumberFormat="0" applyFont="0" applyAlignment="0">
      <alignment horizontal="center"/>
    </xf>
    <xf numFmtId="0" fontId="64" fillId="0" borderId="0"/>
    <xf numFmtId="0" fontId="65" fillId="73" borderId="0"/>
    <xf numFmtId="0" fontId="64" fillId="0" borderId="0"/>
    <xf numFmtId="37" fontId="66" fillId="74" borderId="0" applyNumberFormat="0" applyAlignment="0"/>
    <xf numFmtId="0" fontId="67" fillId="75" borderId="0" applyNumberFormat="0" applyBorder="0" applyAlignment="0" applyProtection="0"/>
    <xf numFmtId="0" fontId="11" fillId="6" borderId="0" applyNumberFormat="0" applyBorder="0" applyAlignment="0" applyProtection="0"/>
    <xf numFmtId="171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2" fontId="6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6" fillId="0" borderId="0"/>
    <xf numFmtId="0" fontId="35" fillId="0" borderId="0"/>
    <xf numFmtId="37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172" fontId="68" fillId="0" borderId="0"/>
    <xf numFmtId="172" fontId="68" fillId="0" borderId="0"/>
    <xf numFmtId="172" fontId="68" fillId="0" borderId="0"/>
    <xf numFmtId="0" fontId="36" fillId="0" borderId="0"/>
    <xf numFmtId="0" fontId="36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0" fontId="36" fillId="0" borderId="0"/>
    <xf numFmtId="0" fontId="36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172" fontId="68" fillId="0" borderId="0"/>
    <xf numFmtId="0" fontId="4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173" fontId="6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0" fontId="36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0" fontId="36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37" fontId="40" fillId="0" borderId="0" applyFill="0" applyBorder="0" applyAlignment="0"/>
    <xf numFmtId="37" fontId="40" fillId="0" borderId="0" applyFill="0" applyBorder="0" applyAlignment="0"/>
    <xf numFmtId="37" fontId="40" fillId="0" borderId="0" applyFill="0" applyBorder="0" applyAlignment="0"/>
    <xf numFmtId="37" fontId="40" fillId="0" borderId="0" applyFill="0" applyBorder="0" applyAlignment="0"/>
    <xf numFmtId="0" fontId="36" fillId="0" borderId="0"/>
    <xf numFmtId="37" fontId="40" fillId="0" borderId="0" applyFill="0" applyBorder="0" applyAlignment="0"/>
    <xf numFmtId="38" fontId="39" fillId="0" borderId="0"/>
    <xf numFmtId="38" fontId="39" fillId="0" borderId="0"/>
    <xf numFmtId="0" fontId="26" fillId="76" borderId="0"/>
    <xf numFmtId="0" fontId="26" fillId="42" borderId="0"/>
    <xf numFmtId="38" fontId="39" fillId="0" borderId="0"/>
    <xf numFmtId="38" fontId="39" fillId="0" borderId="0"/>
    <xf numFmtId="38" fontId="39" fillId="0" borderId="0"/>
    <xf numFmtId="38" fontId="39" fillId="0" borderId="0"/>
    <xf numFmtId="38" fontId="3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7" fontId="6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7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174" fontId="69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36" fillId="77" borderId="22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38" fontId="39" fillId="0" borderId="0" applyFont="0" applyFill="0" applyBorder="0" applyProtection="0"/>
    <xf numFmtId="38" fontId="39" fillId="0" borderId="0" applyFont="0" applyFill="0" applyBorder="0" applyProtection="0"/>
    <xf numFmtId="38" fontId="39" fillId="0" borderId="0" applyFont="0" applyFill="0" applyBorder="0" applyProtection="0"/>
    <xf numFmtId="0" fontId="71" fillId="63" borderId="28" applyNumberFormat="0" applyAlignment="0" applyProtection="0"/>
    <xf numFmtId="0" fontId="13" fillId="8" borderId="5" applyNumberFormat="0" applyAlignment="0" applyProtection="0"/>
    <xf numFmtId="40" fontId="72" fillId="44" borderId="0">
      <alignment horizontal="right"/>
    </xf>
    <xf numFmtId="0" fontId="73" fillId="44" borderId="0">
      <alignment horizontal="right"/>
    </xf>
    <xf numFmtId="0" fontId="74" fillId="44" borderId="25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41" fillId="0" borderId="0"/>
    <xf numFmtId="0" fontId="41" fillId="0" borderId="0"/>
    <xf numFmtId="10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37" fontId="76" fillId="77" borderId="29">
      <alignment horizontal="left" vertical="center"/>
      <protection locked="0"/>
    </xf>
    <xf numFmtId="166" fontId="76" fillId="77" borderId="29">
      <alignment horizontal="left" vertical="center"/>
    </xf>
    <xf numFmtId="37" fontId="76" fillId="45" borderId="29">
      <alignment horizontal="left" vertical="center"/>
      <protection locked="0"/>
    </xf>
    <xf numFmtId="37" fontId="76" fillId="77" borderId="30" applyAlignment="0">
      <alignment horizontal="left" vertical="center"/>
      <protection locked="0"/>
    </xf>
    <xf numFmtId="37" fontId="77" fillId="75" borderId="31" applyBorder="0" applyAlignment="0">
      <alignment horizontal="left" vertical="center"/>
      <protection locked="0"/>
    </xf>
    <xf numFmtId="37" fontId="76" fillId="51" borderId="30" applyAlignment="0">
      <alignment horizontal="left" vertical="center"/>
      <protection locked="0"/>
    </xf>
    <xf numFmtId="37" fontId="76" fillId="77" borderId="30" applyAlignment="0">
      <alignment horizontal="left" vertical="center"/>
      <protection locked="0"/>
    </xf>
    <xf numFmtId="37" fontId="76" fillId="45" borderId="30" applyAlignment="0">
      <alignment horizontal="left" vertical="center"/>
      <protection locked="0"/>
    </xf>
    <xf numFmtId="37" fontId="76" fillId="77" borderId="30" applyAlignment="0">
      <alignment horizontal="left" vertical="center"/>
      <protection locked="0"/>
    </xf>
    <xf numFmtId="37" fontId="77" fillId="75" borderId="29">
      <alignment horizontal="left" vertical="center"/>
    </xf>
    <xf numFmtId="37" fontId="76" fillId="51" borderId="29">
      <alignment horizontal="left" vertical="center"/>
      <protection locked="0"/>
    </xf>
    <xf numFmtId="166" fontId="76" fillId="77" borderId="29">
      <alignment horizontal="left" vertical="center"/>
    </xf>
    <xf numFmtId="166" fontId="76" fillId="77" borderId="29">
      <alignment horizontal="left" vertical="center"/>
    </xf>
    <xf numFmtId="166" fontId="76" fillId="77" borderId="29">
      <alignment horizontal="left" vertical="center"/>
    </xf>
    <xf numFmtId="166" fontId="76" fillId="77" borderId="29">
      <alignment horizontal="left" vertical="center"/>
    </xf>
    <xf numFmtId="166" fontId="76" fillId="77" borderId="29">
      <alignment horizontal="left" vertical="center"/>
    </xf>
    <xf numFmtId="37" fontId="76" fillId="77" borderId="29">
      <alignment horizontal="left" vertical="center"/>
      <protection locked="0"/>
    </xf>
    <xf numFmtId="37" fontId="78" fillId="0" borderId="0">
      <alignment horizontal="center"/>
    </xf>
    <xf numFmtId="42" fontId="36" fillId="44" borderId="0"/>
    <xf numFmtId="0" fontId="41" fillId="78" borderId="0"/>
    <xf numFmtId="0" fontId="79" fillId="78" borderId="32"/>
    <xf numFmtId="0" fontId="80" fillId="79" borderId="33"/>
    <xf numFmtId="0" fontId="81" fillId="78" borderId="34"/>
    <xf numFmtId="42" fontId="82" fillId="80" borderId="35">
      <alignment vertical="center"/>
    </xf>
    <xf numFmtId="0" fontId="63" fillId="44" borderId="36" applyNumberFormat="0">
      <alignment horizontal="center" vertical="center" wrapText="1"/>
    </xf>
    <xf numFmtId="175" fontId="36" fillId="44" borderId="0"/>
    <xf numFmtId="42" fontId="36" fillId="44" borderId="0"/>
    <xf numFmtId="42" fontId="83" fillId="44" borderId="37">
      <alignment horizontal="left"/>
    </xf>
    <xf numFmtId="37" fontId="84" fillId="0" borderId="0" applyNumberFormat="0" applyAlignment="0" applyProtection="0">
      <protection locked="0"/>
    </xf>
    <xf numFmtId="37" fontId="53" fillId="81" borderId="0" applyNumberFormat="0" applyAlignment="0" applyProtection="0">
      <protection locked="0"/>
    </xf>
    <xf numFmtId="38" fontId="44" fillId="0" borderId="38"/>
    <xf numFmtId="38" fontId="48" fillId="0" borderId="37"/>
    <xf numFmtId="176" fontId="36" fillId="0" borderId="0">
      <alignment horizontal="left" wrapText="1"/>
    </xf>
    <xf numFmtId="0" fontId="36" fillId="0" borderId="0" applyNumberFormat="0" applyBorder="0" applyAlignment="0"/>
    <xf numFmtId="0" fontId="8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7" fontId="20" fillId="0" borderId="0">
      <alignment horizontal="center"/>
    </xf>
    <xf numFmtId="0" fontId="41" fillId="0" borderId="0"/>
    <xf numFmtId="0" fontId="79" fillId="78" borderId="0"/>
    <xf numFmtId="167" fontId="86" fillId="0" borderId="0">
      <alignment horizontal="left" vertical="center"/>
    </xf>
    <xf numFmtId="0" fontId="63" fillId="44" borderId="0">
      <alignment horizontal="left" wrapText="1"/>
    </xf>
    <xf numFmtId="0" fontId="87" fillId="0" borderId="0">
      <alignment horizontal="left" vertical="center"/>
    </xf>
    <xf numFmtId="0" fontId="88" fillId="0" borderId="39" applyNumberFormat="0" applyFill="0" applyAlignment="0" applyProtection="0"/>
    <xf numFmtId="0" fontId="2" fillId="0" borderId="9" applyNumberFormat="0" applyFill="0" applyAlignment="0" applyProtection="0"/>
    <xf numFmtId="165" fontId="55" fillId="0" borderId="0" applyNumberFormat="0" applyBorder="0" applyAlignment="0">
      <protection locked="0"/>
    </xf>
    <xf numFmtId="0" fontId="89" fillId="0" borderId="0"/>
    <xf numFmtId="0" fontId="9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8" fontId="39" fillId="0" borderId="0"/>
    <xf numFmtId="37" fontId="53" fillId="66" borderId="0" applyNumberFormat="0" applyBorder="0" applyAlignment="0">
      <protection locked="0"/>
    </xf>
    <xf numFmtId="37" fontId="53" fillId="66" borderId="0" applyNumberFormat="0" applyBorder="0" applyAlignment="0">
      <protection locked="0"/>
    </xf>
    <xf numFmtId="9" fontId="39" fillId="0" borderId="0" applyFont="0" applyFill="0" applyBorder="0" applyAlignment="0" applyProtection="0"/>
    <xf numFmtId="38" fontId="39" fillId="0" borderId="0"/>
    <xf numFmtId="9" fontId="3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92" fillId="0" borderId="0"/>
    <xf numFmtId="43" fontId="36" fillId="0" borderId="0" applyFont="0" applyFill="0" applyBorder="0" applyAlignment="0" applyProtection="0"/>
    <xf numFmtId="0" fontId="40" fillId="0" borderId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8" borderId="0" applyNumberFormat="0" applyBorder="0" applyAlignment="0" applyProtection="0"/>
    <xf numFmtId="0" fontId="1" fillId="63" borderId="0" applyNumberFormat="0" applyBorder="0" applyAlignment="0" applyProtection="0"/>
    <xf numFmtId="0" fontId="1" fillId="51" borderId="0" applyNumberFormat="0" applyBorder="0" applyAlignment="0" applyProtection="0"/>
    <xf numFmtId="0" fontId="1" fillId="17" borderId="0" applyNumberFormat="0" applyBorder="0" applyAlignment="0" applyProtection="0"/>
    <xf numFmtId="0" fontId="1" fillId="53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2" borderId="0" applyNumberFormat="0" applyBorder="0" applyAlignment="0" applyProtection="0"/>
    <xf numFmtId="0" fontId="19" fillId="53" borderId="0" applyNumberFormat="0" applyBorder="0" applyAlignment="0" applyProtection="0"/>
    <xf numFmtId="0" fontId="19" fillId="56" borderId="0" applyNumberFormat="0" applyBorder="0" applyAlignment="0" applyProtection="0"/>
    <xf numFmtId="0" fontId="19" fillId="57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10" fillId="46" borderId="0" applyNumberFormat="0" applyBorder="0" applyAlignment="0" applyProtection="0"/>
    <xf numFmtId="0" fontId="94" fillId="63" borderId="4" applyNumberFormat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92" fillId="0" borderId="0" applyFont="0" applyFill="0" applyBorder="0" applyAlignment="0" applyProtection="0"/>
    <xf numFmtId="179" fontId="95" fillId="0" borderId="0" applyFont="0" applyFill="0" applyBorder="0" applyAlignment="0" applyProtection="0">
      <protection locked="0"/>
    </xf>
    <xf numFmtId="180" fontId="9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" fillId="47" borderId="0" applyNumberFormat="0" applyBorder="0" applyAlignment="0" applyProtection="0"/>
    <xf numFmtId="0" fontId="97" fillId="0" borderId="18" applyNumberFormat="0" applyFill="0" applyAlignment="0" applyProtection="0"/>
    <xf numFmtId="0" fontId="98" fillId="0" borderId="19" applyNumberFormat="0" applyFill="0" applyAlignment="0" applyProtection="0"/>
    <xf numFmtId="0" fontId="99" fillId="0" borderId="20" applyNumberFormat="0" applyFill="0" applyAlignment="0" applyProtection="0"/>
    <xf numFmtId="0" fontId="99" fillId="0" borderId="0" applyNumberFormat="0" applyFill="0" applyBorder="0" applyAlignment="0" applyProtection="0"/>
    <xf numFmtId="181" fontId="93" fillId="0" borderId="40" applyFont="0" applyFill="0" applyBorder="0" applyAlignment="0"/>
    <xf numFmtId="0" fontId="12" fillId="63" borderId="4" applyNumberFormat="0" applyAlignment="0" applyProtection="0"/>
    <xf numFmtId="1" fontId="100" fillId="0" borderId="36" applyFont="0" applyFill="0" applyBorder="0" applyAlignment="0" applyProtection="0"/>
    <xf numFmtId="0" fontId="101" fillId="0" borderId="23" applyNumberFormat="0" applyFill="0" applyAlignment="0" applyProtection="0"/>
    <xf numFmtId="0" fontId="102" fillId="6" borderId="0" applyNumberFormat="0" applyBorder="0" applyAlignment="0" applyProtection="0"/>
    <xf numFmtId="182" fontId="92" fillId="0" borderId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0" fontId="30" fillId="0" borderId="0"/>
    <xf numFmtId="0" fontId="36" fillId="0" borderId="0"/>
    <xf numFmtId="0" fontId="30" fillId="10" borderId="8" applyNumberFormat="0" applyFont="0" applyAlignment="0" applyProtection="0"/>
    <xf numFmtId="0" fontId="1" fillId="10" borderId="8" applyNumberFormat="0" applyFont="0" applyAlignment="0" applyProtection="0"/>
    <xf numFmtId="0" fontId="13" fillId="63" borderId="5" applyNumberFormat="0" applyAlignment="0" applyProtection="0"/>
    <xf numFmtId="0" fontId="1" fillId="0" borderId="0"/>
    <xf numFmtId="183" fontId="95" fillId="0" borderId="41" applyFont="0" applyFill="0" applyBorder="0" applyAlignment="0" applyProtection="0">
      <protection locked="0"/>
    </xf>
    <xf numFmtId="184" fontId="92" fillId="0" borderId="40" applyFont="0" applyFill="0" applyBorder="0" applyAlignment="0" applyProtection="0"/>
    <xf numFmtId="0" fontId="78" fillId="0" borderId="0" applyNumberFormat="0" applyFill="0" applyBorder="0" applyAlignment="0" applyProtection="0"/>
    <xf numFmtId="0" fontId="92" fillId="82" borderId="0" applyNumberFormat="0" applyBorder="0" applyAlignment="0" applyProtection="0"/>
    <xf numFmtId="0" fontId="103" fillId="65" borderId="0" applyNumberFormat="0" applyFont="0" applyBorder="0" applyAlignment="0" applyProtection="0"/>
    <xf numFmtId="185" fontId="92" fillId="0" borderId="0" applyFont="0" applyFill="0" applyBorder="0" applyAlignment="0" applyProtection="0"/>
    <xf numFmtId="182" fontId="95" fillId="0" borderId="36" applyFont="0" applyFill="0" applyBorder="0" applyAlignment="0" applyProtection="0">
      <protection locked="0"/>
    </xf>
    <xf numFmtId="0" fontId="104" fillId="0" borderId="0" applyNumberFormat="0" applyFill="0" applyBorder="0" applyAlignment="0" applyProtection="0"/>
    <xf numFmtId="0" fontId="2" fillId="0" borderId="39" applyNumberFormat="0" applyFill="0" applyAlignment="0" applyProtection="0"/>
    <xf numFmtId="186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36" fillId="0" borderId="0"/>
    <xf numFmtId="0" fontId="36" fillId="0" borderId="0"/>
    <xf numFmtId="43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36" fillId="0" borderId="0"/>
    <xf numFmtId="0" fontId="1" fillId="0" borderId="0"/>
    <xf numFmtId="0" fontId="1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26" fillId="0" borderId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0" borderId="0"/>
    <xf numFmtId="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44" fontId="36" fillId="0" borderId="0" applyFont="0" applyFill="0" applyBorder="0" applyAlignment="0" applyProtection="0"/>
    <xf numFmtId="38" fontId="39" fillId="0" borderId="0"/>
    <xf numFmtId="43" fontId="1" fillId="0" borderId="0" applyFont="0" applyFill="0" applyBorder="0" applyAlignment="0" applyProtection="0"/>
    <xf numFmtId="38" fontId="50" fillId="0" borderId="0"/>
    <xf numFmtId="0" fontId="106" fillId="0" borderId="0" applyNumberFormat="0" applyFill="0" applyBorder="0" applyAlignment="0" applyProtection="0">
      <alignment vertical="top"/>
      <protection locked="0"/>
    </xf>
    <xf numFmtId="37" fontId="53" fillId="50" borderId="0" applyNumberFormat="0" applyAlignment="0">
      <protection locked="0"/>
    </xf>
    <xf numFmtId="37" fontId="105" fillId="83" borderId="0" applyNumberFormat="0" applyAlignment="0"/>
    <xf numFmtId="38" fontId="64" fillId="84" borderId="0" applyNumberFormat="0" applyAlignment="0"/>
    <xf numFmtId="0" fontId="1" fillId="0" borderId="0"/>
    <xf numFmtId="9" fontId="39" fillId="0" borderId="0" applyFont="0" applyFill="0" applyBorder="0" applyAlignment="0" applyProtection="0"/>
    <xf numFmtId="39" fontId="78" fillId="0" borderId="0">
      <alignment horizontal="center"/>
    </xf>
    <xf numFmtId="2" fontId="59" fillId="85" borderId="0" applyNumberFormat="0" applyBorder="0" applyAlignment="0" applyProtection="0"/>
    <xf numFmtId="38" fontId="39" fillId="0" borderId="0"/>
    <xf numFmtId="37" fontId="53" fillId="50" borderId="0" applyNumberFormat="0" applyAlignment="0">
      <protection locked="0"/>
    </xf>
    <xf numFmtId="9" fontId="39" fillId="0" borderId="0" applyFont="0" applyFill="0" applyBorder="0" applyAlignment="0" applyProtection="0"/>
    <xf numFmtId="0" fontId="40" fillId="0" borderId="0"/>
    <xf numFmtId="0" fontId="1" fillId="0" borderId="0"/>
    <xf numFmtId="9" fontId="40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164" fontId="0" fillId="0" borderId="0" xfId="0" applyNumberFormat="1"/>
    <xf numFmtId="4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0" fontId="3" fillId="2" borderId="0" xfId="2" applyNumberFormat="1" applyFont="1" applyFill="1"/>
    <xf numFmtId="164" fontId="3" fillId="2" borderId="0" xfId="0" applyNumberFormat="1" applyFont="1" applyFill="1"/>
    <xf numFmtId="0" fontId="23" fillId="38" borderId="0" xfId="0" applyFont="1" applyFill="1" applyAlignment="1">
      <alignment horizontal="center" vertical="center"/>
    </xf>
    <xf numFmtId="0" fontId="23" fillId="38" borderId="13" xfId="0" applyFont="1" applyFill="1" applyBorder="1" applyAlignment="1">
      <alignment horizontal="center" vertical="center"/>
    </xf>
    <xf numFmtId="0" fontId="21" fillId="36" borderId="12" xfId="5" applyFont="1" applyFill="1" applyBorder="1">
      <alignment horizontal="centerContinuous"/>
    </xf>
    <xf numFmtId="37" fontId="24" fillId="3" borderId="14" xfId="0" applyNumberFormat="1" applyFont="1" applyFill="1" applyBorder="1" applyAlignment="1">
      <alignment horizontal="center" vertical="center"/>
    </xf>
    <xf numFmtId="164" fontId="0" fillId="39" borderId="0" xfId="1" applyNumberFormat="1" applyFont="1" applyFill="1"/>
    <xf numFmtId="37" fontId="24" fillId="40" borderId="14" xfId="0" applyNumberFormat="1" applyFont="1" applyFill="1" applyBorder="1" applyAlignment="1">
      <alignment horizontal="center" vertical="center"/>
    </xf>
    <xf numFmtId="37" fontId="24" fillId="39" borderId="15" xfId="0" applyNumberFormat="1" applyFont="1" applyFill="1" applyBorder="1" applyAlignment="1">
      <alignment horizontal="left" vertical="center"/>
    </xf>
    <xf numFmtId="0" fontId="0" fillId="39" borderId="0" xfId="0" applyFill="1"/>
    <xf numFmtId="164" fontId="0" fillId="39" borderId="0" xfId="0" applyNumberFormat="1" applyFill="1"/>
    <xf numFmtId="0" fontId="0" fillId="40" borderId="0" xfId="0" applyFill="1"/>
    <xf numFmtId="164" fontId="0" fillId="40" borderId="0" xfId="0" applyNumberFormat="1" applyFill="1"/>
    <xf numFmtId="37" fontId="24" fillId="40" borderId="15" xfId="0" applyNumberFormat="1" applyFont="1" applyFill="1" applyBorder="1" applyAlignment="1">
      <alignment horizontal="center" vertical="center"/>
    </xf>
    <xf numFmtId="0" fontId="25" fillId="37" borderId="11" xfId="0" applyFont="1" applyFill="1" applyBorder="1" applyAlignment="1">
      <alignment horizontal="center"/>
    </xf>
    <xf numFmtId="0" fontId="25" fillId="37" borderId="12" xfId="0" applyFont="1" applyFill="1" applyBorder="1" applyAlignment="1">
      <alignment horizontal="center"/>
    </xf>
    <xf numFmtId="0" fontId="0" fillId="41" borderId="0" xfId="0" applyFill="1"/>
    <xf numFmtId="37" fontId="22" fillId="38" borderId="15" xfId="6" applyNumberFormat="1" applyFont="1" applyFill="1" applyBorder="1" applyAlignment="1">
      <alignment horizontal="center" vertical="center"/>
    </xf>
    <xf numFmtId="37" fontId="22" fillId="38" borderId="14" xfId="6" applyNumberFormat="1" applyFont="1" applyFill="1" applyBorder="1" applyAlignment="1">
      <alignment horizontal="center" vertical="center"/>
    </xf>
    <xf numFmtId="164" fontId="0" fillId="39" borderId="15" xfId="1" applyNumberFormat="1" applyFont="1" applyFill="1" applyBorder="1" applyAlignment="1">
      <alignment vertical="center"/>
    </xf>
    <xf numFmtId="0" fontId="0" fillId="39" borderId="0" xfId="0" applyFill="1" applyAlignment="1">
      <alignment vertical="center"/>
    </xf>
    <xf numFmtId="37" fontId="91" fillId="39" borderId="15" xfId="0" applyNumberFormat="1" applyFont="1" applyFill="1" applyBorder="1" applyAlignment="1">
      <alignment horizontal="left" vertical="center"/>
    </xf>
    <xf numFmtId="164" fontId="2" fillId="39" borderId="0" xfId="1" applyNumberFormat="1" applyFont="1" applyFill="1" applyAlignment="1">
      <alignment vertical="center"/>
    </xf>
    <xf numFmtId="0" fontId="23" fillId="38" borderId="0" xfId="0" applyFont="1" applyFill="1" applyAlignment="1">
      <alignment horizontal="left" vertical="center"/>
    </xf>
    <xf numFmtId="37" fontId="24" fillId="40" borderId="15" xfId="0" applyNumberFormat="1" applyFont="1" applyFill="1" applyBorder="1" applyAlignment="1">
      <alignment horizontal="left" vertical="center"/>
    </xf>
    <xf numFmtId="164" fontId="2" fillId="39" borderId="15" xfId="1" applyNumberFormat="1" applyFont="1" applyFill="1" applyBorder="1" applyAlignment="1">
      <alignment vertical="center"/>
    </xf>
    <xf numFmtId="0" fontId="2" fillId="39" borderId="0" xfId="0" applyFont="1" applyFill="1" applyAlignment="1">
      <alignment vertical="center"/>
    </xf>
    <xf numFmtId="164" fontId="2" fillId="39" borderId="0" xfId="0" applyNumberFormat="1" applyFont="1" applyFill="1" applyAlignment="1">
      <alignment vertical="center"/>
    </xf>
    <xf numFmtId="37" fontId="24" fillId="40" borderId="15" xfId="0" applyNumberFormat="1" applyFont="1" applyFill="1" applyBorder="1" applyAlignment="1">
      <alignment horizontal="left" vertical="center" indent="1"/>
    </xf>
    <xf numFmtId="37" fontId="91" fillId="40" borderId="14" xfId="0" applyNumberFormat="1" applyFont="1" applyFill="1" applyBorder="1" applyAlignment="1">
      <alignment horizontal="center" vertical="center"/>
    </xf>
    <xf numFmtId="37" fontId="91" fillId="40" borderId="15" xfId="0" applyNumberFormat="1" applyFont="1" applyFill="1" applyBorder="1" applyAlignment="1">
      <alignment horizontal="center" vertical="center"/>
    </xf>
    <xf numFmtId="0" fontId="0" fillId="41" borderId="0" xfId="0" applyFill="1" applyAlignment="1">
      <alignment horizontal="center"/>
    </xf>
    <xf numFmtId="164" fontId="24" fillId="40" borderId="15" xfId="1" applyNumberFormat="1" applyFont="1" applyFill="1" applyBorder="1" applyAlignment="1" applyProtection="1">
      <alignment vertical="center"/>
    </xf>
    <xf numFmtId="0" fontId="23" fillId="38" borderId="0" xfId="0" applyFont="1" applyFill="1" applyAlignment="1">
      <alignment vertical="center"/>
    </xf>
    <xf numFmtId="37" fontId="22" fillId="38" borderId="15" xfId="6" applyNumberFormat="1" applyFont="1" applyFill="1" applyBorder="1" applyAlignment="1">
      <alignment vertical="center"/>
    </xf>
    <xf numFmtId="164" fontId="0" fillId="40" borderId="15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1" fillId="39" borderId="14" xfId="0" applyFont="1" applyFill="1" applyBorder="1" applyAlignment="1">
      <alignment horizontal="center" vertical="center"/>
    </xf>
    <xf numFmtId="0" fontId="107" fillId="0" borderId="0" xfId="0" applyFont="1"/>
    <xf numFmtId="0" fontId="0" fillId="40" borderId="0" xfId="0" applyFill="1" applyAlignment="1">
      <alignment horizontal="center" vertical="center"/>
    </xf>
    <xf numFmtId="10" fontId="0" fillId="40" borderId="0" xfId="2" applyNumberFormat="1" applyFont="1" applyFill="1"/>
    <xf numFmtId="0" fontId="0" fillId="39" borderId="0" xfId="0" applyFill="1" applyAlignment="1">
      <alignment horizontal="center" vertical="center"/>
    </xf>
    <xf numFmtId="10" fontId="0" fillId="39" borderId="0" xfId="2" applyNumberFormat="1" applyFont="1" applyFill="1"/>
    <xf numFmtId="0" fontId="0" fillId="41" borderId="0" xfId="0" applyFill="1" applyAlignment="1">
      <alignment horizontal="center" vertical="center"/>
    </xf>
    <xf numFmtId="164" fontId="0" fillId="39" borderId="0" xfId="2" applyNumberFormat="1" applyFont="1" applyFill="1"/>
    <xf numFmtId="164" fontId="0" fillId="40" borderId="0" xfId="2" applyNumberFormat="1" applyFont="1" applyFill="1"/>
    <xf numFmtId="0" fontId="25" fillId="37" borderId="11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91" fillId="3" borderId="14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5" fillId="37" borderId="12" xfId="0" applyFont="1" applyFill="1" applyBorder="1" applyAlignment="1">
      <alignment horizontal="center" vertical="center"/>
    </xf>
    <xf numFmtId="10" fontId="0" fillId="39" borderId="0" xfId="2" applyNumberFormat="1" applyFont="1" applyFill="1" applyAlignment="1">
      <alignment vertical="center"/>
    </xf>
    <xf numFmtId="0" fontId="0" fillId="40" borderId="0" xfId="0" applyFill="1" applyAlignment="1">
      <alignment vertical="center"/>
    </xf>
    <xf numFmtId="10" fontId="0" fillId="40" borderId="0" xfId="2" applyNumberFormat="1" applyFont="1" applyFill="1" applyAlignment="1">
      <alignment vertical="center"/>
    </xf>
    <xf numFmtId="37" fontId="24" fillId="39" borderId="15" xfId="0" applyNumberFormat="1" applyFont="1" applyFill="1" applyBorder="1" applyAlignment="1">
      <alignment vertical="center"/>
    </xf>
    <xf numFmtId="0" fontId="21" fillId="36" borderId="12" xfId="5" applyFont="1" applyFill="1" applyBorder="1" applyAlignment="1">
      <alignment horizontal="centerContinuous" vertical="center"/>
    </xf>
    <xf numFmtId="164" fontId="24" fillId="40" borderId="15" xfId="0" applyNumberFormat="1" applyFont="1" applyFill="1" applyBorder="1" applyAlignment="1">
      <alignment horizontal="center" vertical="center"/>
    </xf>
    <xf numFmtId="37" fontId="91" fillId="40" borderId="15" xfId="0" applyNumberFormat="1" applyFont="1" applyFill="1" applyBorder="1" applyAlignment="1">
      <alignment horizontal="left" vertical="center"/>
    </xf>
    <xf numFmtId="164" fontId="91" fillId="40" borderId="15" xfId="0" applyNumberFormat="1" applyFont="1" applyFill="1" applyBorder="1" applyAlignment="1">
      <alignment horizontal="center" vertical="center"/>
    </xf>
    <xf numFmtId="37" fontId="24" fillId="3" borderId="15" xfId="0" applyNumberFormat="1" applyFont="1" applyFill="1" applyBorder="1" applyAlignment="1">
      <alignment horizontal="center" vertical="center"/>
    </xf>
    <xf numFmtId="37" fontId="24" fillId="40" borderId="15" xfId="0" applyNumberFormat="1" applyFont="1" applyFill="1" applyBorder="1" applyAlignment="1">
      <alignment vertical="center"/>
    </xf>
    <xf numFmtId="37" fontId="91" fillId="40" borderId="15" xfId="0" applyNumberFormat="1" applyFont="1" applyFill="1" applyBorder="1" applyAlignment="1">
      <alignment vertical="center"/>
    </xf>
    <xf numFmtId="0" fontId="25" fillId="37" borderId="12" xfId="0" applyFont="1" applyFill="1" applyBorder="1" applyAlignment="1">
      <alignment horizontal="centerContinuous" vertical="center"/>
    </xf>
    <xf numFmtId="0" fontId="0" fillId="40" borderId="0" xfId="0" applyFill="1" applyAlignment="1">
      <alignment horizontal="left" indent="1"/>
    </xf>
    <xf numFmtId="0" fontId="0" fillId="39" borderId="0" xfId="0" applyFill="1" applyAlignment="1">
      <alignment horizontal="left" indent="1"/>
    </xf>
    <xf numFmtId="10" fontId="0" fillId="39" borderId="15" xfId="2" applyNumberFormat="1" applyFont="1" applyFill="1" applyBorder="1" applyAlignment="1">
      <alignment vertical="center"/>
    </xf>
    <xf numFmtId="37" fontId="24" fillId="40" borderId="15" xfId="0" applyNumberFormat="1" applyFont="1" applyFill="1" applyBorder="1" applyAlignment="1">
      <alignment horizontal="right" vertical="center"/>
    </xf>
    <xf numFmtId="164" fontId="24" fillId="40" borderId="15" xfId="1" applyNumberFormat="1" applyFont="1" applyFill="1" applyBorder="1" applyAlignment="1" applyProtection="1">
      <alignment horizontal="right" vertical="center"/>
    </xf>
    <xf numFmtId="164" fontId="24" fillId="40" borderId="15" xfId="1" applyNumberFormat="1" applyFont="1" applyFill="1" applyBorder="1" applyAlignment="1" applyProtection="1">
      <alignment horizontal="left" vertical="center"/>
    </xf>
    <xf numFmtId="164" fontId="0" fillId="39" borderId="0" xfId="1" applyNumberFormat="1" applyFont="1" applyFill="1" applyAlignment="1">
      <alignment horizontal="right"/>
    </xf>
    <xf numFmtId="164" fontId="21" fillId="36" borderId="12" xfId="1" applyNumberFormat="1" applyFont="1" applyFill="1" applyBorder="1" applyAlignment="1">
      <alignment horizontal="centerContinuous" vertical="center"/>
    </xf>
    <xf numFmtId="164" fontId="0" fillId="0" borderId="0" xfId="1" applyNumberFormat="1" applyFont="1"/>
    <xf numFmtId="164" fontId="23" fillId="38" borderId="0" xfId="1" applyNumberFormat="1" applyFont="1" applyFill="1" applyBorder="1" applyAlignment="1">
      <alignment horizontal="left" vertical="center"/>
    </xf>
    <xf numFmtId="164" fontId="3" fillId="2" borderId="0" xfId="1" applyNumberFormat="1" applyFont="1" applyFill="1"/>
    <xf numFmtId="164" fontId="2" fillId="40" borderId="15" xfId="1" applyNumberFormat="1" applyFont="1" applyFill="1" applyBorder="1" applyAlignment="1">
      <alignment vertical="center"/>
    </xf>
    <xf numFmtId="0" fontId="0" fillId="39" borderId="0" xfId="0" applyFill="1" applyAlignment="1">
      <alignment horizontal="left"/>
    </xf>
    <xf numFmtId="164" fontId="24" fillId="40" borderId="15" xfId="1" applyNumberFormat="1" applyFont="1" applyFill="1" applyBorder="1" applyAlignment="1" applyProtection="1">
      <alignment horizontal="right" vertical="center" indent="1"/>
    </xf>
    <xf numFmtId="0" fontId="2" fillId="39" borderId="0" xfId="0" applyFont="1" applyFill="1" applyAlignment="1">
      <alignment horizontal="left" indent="1"/>
    </xf>
    <xf numFmtId="164" fontId="2" fillId="39" borderId="0" xfId="1" applyNumberFormat="1" applyFont="1" applyFill="1"/>
    <xf numFmtId="164" fontId="2" fillId="39" borderId="0" xfId="1" applyNumberFormat="1" applyFont="1" applyFill="1" applyAlignment="1">
      <alignment horizontal="right"/>
    </xf>
    <xf numFmtId="1" fontId="25" fillId="37" borderId="11" xfId="0" applyNumberFormat="1" applyFont="1" applyFill="1" applyBorder="1" applyAlignment="1">
      <alignment horizontal="center" vertical="center"/>
    </xf>
    <xf numFmtId="1" fontId="23" fillId="38" borderId="13" xfId="0" applyNumberFormat="1" applyFont="1" applyFill="1" applyBorder="1" applyAlignment="1">
      <alignment horizontal="center" vertical="center"/>
    </xf>
    <xf numFmtId="1" fontId="0" fillId="39" borderId="0" xfId="0" applyNumberFormat="1" applyFill="1" applyAlignment="1">
      <alignment horizontal="center" vertical="center"/>
    </xf>
    <xf numFmtId="1" fontId="24" fillId="40" borderId="14" xfId="0" applyNumberFormat="1" applyFont="1" applyFill="1" applyBorder="1" applyAlignment="1">
      <alignment horizontal="center" vertical="center"/>
    </xf>
    <xf numFmtId="1" fontId="2" fillId="39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164" fontId="1" fillId="39" borderId="0" xfId="1" applyNumberFormat="1" applyFont="1" applyFill="1"/>
    <xf numFmtId="164" fontId="1" fillId="39" borderId="0" xfId="1" applyNumberFormat="1" applyFont="1" applyFill="1" applyAlignment="1">
      <alignment horizontal="right"/>
    </xf>
    <xf numFmtId="1" fontId="21" fillId="36" borderId="12" xfId="5" applyNumberFormat="1" applyFont="1" applyFill="1" applyBorder="1" applyAlignment="1">
      <alignment horizontal="centerContinuous" vertical="center"/>
    </xf>
    <xf numFmtId="10" fontId="24" fillId="40" borderId="15" xfId="2" applyNumberFormat="1" applyFont="1" applyFill="1" applyBorder="1" applyAlignment="1" applyProtection="1">
      <alignment vertical="center"/>
    </xf>
    <xf numFmtId="41" fontId="3" fillId="2" borderId="0" xfId="1" applyNumberFormat="1" applyFont="1" applyFill="1"/>
    <xf numFmtId="41" fontId="0" fillId="39" borderId="0" xfId="1" applyNumberFormat="1" applyFont="1" applyFill="1"/>
    <xf numFmtId="41" fontId="24" fillId="40" borderId="15" xfId="1" applyNumberFormat="1" applyFont="1" applyFill="1" applyBorder="1" applyAlignment="1" applyProtection="1">
      <alignment horizontal="right" vertical="center"/>
    </xf>
    <xf numFmtId="41" fontId="24" fillId="40" borderId="15" xfId="0" applyNumberFormat="1" applyFont="1" applyFill="1" applyBorder="1" applyAlignment="1">
      <alignment horizontal="right" vertical="center"/>
    </xf>
    <xf numFmtId="1" fontId="23" fillId="86" borderId="13" xfId="0" applyNumberFormat="1" applyFont="1" applyFill="1" applyBorder="1" applyAlignment="1">
      <alignment horizontal="center" vertical="center"/>
    </xf>
    <xf numFmtId="0" fontId="23" fillId="86" borderId="0" xfId="0" applyFont="1" applyFill="1" applyAlignment="1">
      <alignment horizontal="left" vertical="center"/>
    </xf>
    <xf numFmtId="164" fontId="23" fillId="86" borderId="0" xfId="1" applyNumberFormat="1" applyFont="1" applyFill="1" applyBorder="1" applyAlignment="1">
      <alignment horizontal="left" vertical="center"/>
    </xf>
    <xf numFmtId="1" fontId="24" fillId="40" borderId="13" xfId="0" applyNumberFormat="1" applyFont="1" applyFill="1" applyBorder="1" applyAlignment="1">
      <alignment horizontal="center" vertical="center"/>
    </xf>
    <xf numFmtId="37" fontId="91" fillId="40" borderId="0" xfId="0" applyNumberFormat="1" applyFont="1" applyFill="1" applyAlignment="1">
      <alignment horizontal="left" vertical="center"/>
    </xf>
    <xf numFmtId="164" fontId="2" fillId="40" borderId="0" xfId="1" applyNumberFormat="1" applyFont="1" applyFill="1" applyBorder="1" applyAlignment="1">
      <alignment vertical="center"/>
    </xf>
    <xf numFmtId="164" fontId="0" fillId="40" borderId="0" xfId="1" applyNumberFormat="1" applyFont="1" applyFill="1" applyBorder="1" applyAlignment="1">
      <alignment vertical="center"/>
    </xf>
    <xf numFmtId="164" fontId="0" fillId="2" borderId="15" xfId="1" applyNumberFormat="1" applyFont="1" applyFill="1" applyBorder="1" applyAlignment="1">
      <alignment vertical="center"/>
    </xf>
    <xf numFmtId="164" fontId="3" fillId="2" borderId="15" xfId="1" applyNumberFormat="1" applyFont="1" applyFill="1" applyBorder="1" applyAlignment="1">
      <alignment vertical="center"/>
    </xf>
    <xf numFmtId="44" fontId="0" fillId="40" borderId="0" xfId="0" applyNumberFormat="1" applyFill="1"/>
    <xf numFmtId="10" fontId="0" fillId="40" borderId="0" xfId="0" applyNumberFormat="1" applyFill="1"/>
    <xf numFmtId="41" fontId="3" fillId="2" borderId="0" xfId="2" applyNumberFormat="1" applyFont="1" applyFill="1"/>
    <xf numFmtId="41" fontId="0" fillId="39" borderId="15" xfId="1" applyNumberFormat="1" applyFont="1" applyFill="1" applyBorder="1" applyAlignment="1">
      <alignment vertical="center"/>
    </xf>
    <xf numFmtId="10" fontId="3" fillId="2" borderId="0" xfId="2" applyNumberFormat="1" applyFont="1" applyFill="1" applyAlignment="1">
      <alignment horizontal="right"/>
    </xf>
    <xf numFmtId="42" fontId="0" fillId="0" borderId="0" xfId="0" applyNumberFormat="1"/>
    <xf numFmtId="164" fontId="0" fillId="39" borderId="0" xfId="0" applyNumberFormat="1" applyFill="1" applyAlignment="1">
      <alignment vertical="center"/>
    </xf>
    <xf numFmtId="0" fontId="0" fillId="40" borderId="0" xfId="0" applyFill="1" applyAlignment="1">
      <alignment horizontal="left"/>
    </xf>
    <xf numFmtId="10" fontId="109" fillId="87" borderId="0" xfId="911" applyNumberFormat="1" applyFont="1" applyFill="1"/>
    <xf numFmtId="0" fontId="21" fillId="36" borderId="0" xfId="5" applyFont="1" applyFill="1">
      <alignment horizontal="centerContinuous"/>
    </xf>
    <xf numFmtId="37" fontId="22" fillId="38" borderId="0" xfId="6" applyNumberFormat="1" applyFont="1" applyFill="1" applyAlignment="1">
      <alignment horizontal="center" vertical="center"/>
    </xf>
    <xf numFmtId="37" fontId="22" fillId="38" borderId="0" xfId="6" applyNumberFormat="1" applyFont="1" applyFill="1" applyAlignment="1">
      <alignment vertical="center"/>
    </xf>
    <xf numFmtId="10" fontId="3" fillId="87" borderId="0" xfId="2" applyNumberFormat="1" applyFont="1" applyFill="1"/>
    <xf numFmtId="164" fontId="3" fillId="87" borderId="15" xfId="1" applyNumberFormat="1" applyFont="1" applyFill="1" applyBorder="1" applyAlignment="1">
      <alignment vertical="center"/>
    </xf>
    <xf numFmtId="164" fontId="3" fillId="87" borderId="0" xfId="0" applyNumberFormat="1" applyFont="1" applyFill="1"/>
    <xf numFmtId="0" fontId="21" fillId="36" borderId="0" xfId="5" applyFont="1" applyFill="1" applyAlignment="1">
      <alignment horizontal="centerContinuous" vertical="center"/>
    </xf>
    <xf numFmtId="37" fontId="0" fillId="39" borderId="0" xfId="0" applyNumberFormat="1" applyFill="1" applyAlignment="1">
      <alignment horizontal="center" vertical="center"/>
    </xf>
    <xf numFmtId="37" fontId="0" fillId="40" borderId="0" xfId="0" applyNumberFormat="1" applyFill="1" applyAlignment="1">
      <alignment horizontal="center" vertical="center"/>
    </xf>
    <xf numFmtId="10" fontId="0" fillId="40" borderId="15" xfId="2" applyNumberFormat="1" applyFont="1" applyFill="1" applyBorder="1" applyAlignment="1">
      <alignment vertical="center"/>
    </xf>
    <xf numFmtId="0" fontId="2" fillId="39" borderId="0" xfId="0" applyFont="1" applyFill="1"/>
    <xf numFmtId="164" fontId="2" fillId="39" borderId="0" xfId="0" applyNumberFormat="1" applyFont="1" applyFill="1"/>
    <xf numFmtId="0" fontId="0" fillId="40" borderId="0" xfId="0" applyFill="1" applyAlignment="1">
      <alignment horizontal="center"/>
    </xf>
    <xf numFmtId="10" fontId="0" fillId="40" borderId="0" xfId="2" applyNumberFormat="1" applyFont="1" applyFill="1" applyBorder="1" applyAlignment="1">
      <alignment vertical="center"/>
    </xf>
    <xf numFmtId="0" fontId="110" fillId="38" borderId="13" xfId="0" applyFont="1" applyFill="1" applyBorder="1" applyAlignment="1">
      <alignment horizontal="center" vertical="center"/>
    </xf>
    <xf numFmtId="0" fontId="24" fillId="39" borderId="14" xfId="0" applyFont="1" applyFill="1" applyBorder="1" applyAlignment="1">
      <alignment horizontal="center" vertical="center"/>
    </xf>
    <xf numFmtId="10" fontId="3" fillId="0" borderId="0" xfId="2" applyNumberFormat="1" applyFont="1" applyFill="1"/>
    <xf numFmtId="164" fontId="2" fillId="0" borderId="0" xfId="0" applyNumberFormat="1" applyFont="1" applyAlignment="1">
      <alignment vertical="center"/>
    </xf>
    <xf numFmtId="37" fontId="24" fillId="88" borderId="14" xfId="0" applyNumberFormat="1" applyFont="1" applyFill="1" applyBorder="1" applyAlignment="1">
      <alignment horizontal="center" vertical="center"/>
    </xf>
    <xf numFmtId="37" fontId="0" fillId="39" borderId="0" xfId="0" applyNumberFormat="1" applyFill="1" applyAlignment="1">
      <alignment horizontal="center"/>
    </xf>
    <xf numFmtId="37" fontId="24" fillId="88" borderId="15" xfId="0" applyNumberFormat="1" applyFont="1" applyFill="1" applyBorder="1" applyAlignment="1">
      <alignment vertical="center"/>
    </xf>
    <xf numFmtId="164" fontId="0" fillId="88" borderId="0" xfId="0" applyNumberFormat="1" applyFill="1" applyAlignment="1">
      <alignment vertical="center"/>
    </xf>
    <xf numFmtId="37" fontId="24" fillId="39" borderId="1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7" fontId="91" fillId="0" borderId="0" xfId="0" applyNumberFormat="1" applyFont="1" applyAlignment="1">
      <alignment horizontal="left" vertical="center"/>
    </xf>
    <xf numFmtId="10" fontId="0" fillId="41" borderId="0" xfId="2" applyNumberFormat="1" applyFont="1" applyFill="1"/>
    <xf numFmtId="164" fontId="0" fillId="2" borderId="0" xfId="1" applyNumberFormat="1" applyFont="1" applyFill="1"/>
    <xf numFmtId="164" fontId="0" fillId="40" borderId="0" xfId="1" applyNumberFormat="1" applyFont="1" applyFill="1"/>
    <xf numFmtId="44" fontId="0" fillId="0" borderId="0" xfId="0" applyNumberFormat="1"/>
    <xf numFmtId="41" fontId="3" fillId="89" borderId="0" xfId="2" applyNumberFormat="1" applyFont="1" applyFill="1"/>
    <xf numFmtId="164" fontId="0" fillId="35" borderId="15" xfId="1" applyNumberFormat="1" applyFont="1" applyFill="1" applyBorder="1" applyAlignment="1">
      <alignment vertical="center"/>
    </xf>
    <xf numFmtId="37" fontId="24" fillId="40" borderId="0" xfId="0" applyNumberFormat="1" applyFont="1" applyFill="1" applyAlignment="1">
      <alignment horizontal="left" vertical="center"/>
    </xf>
    <xf numFmtId="164" fontId="0" fillId="87" borderId="15" xfId="1" applyNumberFormat="1" applyFont="1" applyFill="1" applyBorder="1" applyAlignment="1">
      <alignment vertical="center"/>
    </xf>
    <xf numFmtId="37" fontId="24" fillId="88" borderId="0" xfId="0" applyNumberFormat="1" applyFont="1" applyFill="1" applyAlignment="1">
      <alignment vertical="center"/>
    </xf>
    <xf numFmtId="37" fontId="0" fillId="39" borderId="0" xfId="0" applyNumberFormat="1" applyFill="1" applyAlignment="1">
      <alignment vertical="center"/>
    </xf>
    <xf numFmtId="42" fontId="0" fillId="89" borderId="0" xfId="0" applyNumberFormat="1" applyFill="1"/>
    <xf numFmtId="10" fontId="0" fillId="39" borderId="0" xfId="2" applyNumberFormat="1" applyFont="1" applyFill="1" applyBorder="1" applyAlignment="1">
      <alignment vertical="center"/>
    </xf>
    <xf numFmtId="37" fontId="24" fillId="39" borderId="0" xfId="0" applyNumberFormat="1" applyFont="1" applyFill="1" applyAlignment="1">
      <alignment vertical="center"/>
    </xf>
    <xf numFmtId="0" fontId="2" fillId="40" borderId="0" xfId="0" applyFont="1" applyFill="1"/>
    <xf numFmtId="0" fontId="0" fillId="88" borderId="0" xfId="0" applyFill="1"/>
    <xf numFmtId="164" fontId="0" fillId="88" borderId="0" xfId="1" applyNumberFormat="1" applyFont="1" applyFill="1"/>
    <xf numFmtId="0" fontId="2" fillId="39" borderId="0" xfId="0" applyFont="1" applyFill="1" applyAlignment="1">
      <alignment horizontal="center" vertical="center"/>
    </xf>
    <xf numFmtId="0" fontId="2" fillId="40" borderId="0" xfId="0" applyFont="1" applyFill="1" applyAlignment="1">
      <alignment horizontal="center" vertical="center"/>
    </xf>
    <xf numFmtId="44" fontId="23" fillId="38" borderId="0" xfId="0" applyNumberFormat="1" applyFont="1" applyFill="1" applyAlignment="1">
      <alignment horizontal="left" vertical="center"/>
    </xf>
    <xf numFmtId="0" fontId="112" fillId="0" borderId="0" xfId="0" applyFont="1"/>
    <xf numFmtId="0" fontId="0" fillId="0" borderId="0" xfId="0" applyAlignment="1">
      <alignment wrapText="1"/>
    </xf>
    <xf numFmtId="164" fontId="112" fillId="0" borderId="0" xfId="0" applyNumberFormat="1" applyFont="1"/>
  </cellXfs>
  <cellStyles count="1262">
    <cellStyle name="20% - Accent1 2" xfId="15" xr:uid="{00000000-0005-0000-0000-000000000000}"/>
    <cellStyle name="20% - Accent1 2 2" xfId="16" xr:uid="{00000000-0005-0000-0000-000001000000}"/>
    <cellStyle name="20% - Accent1 2 3" xfId="1080" xr:uid="{00000000-0005-0000-0000-000002000000}"/>
    <cellStyle name="20% - Accent1 3" xfId="17" xr:uid="{00000000-0005-0000-0000-000003000000}"/>
    <cellStyle name="20% - Accent1 3 2" xfId="18" xr:uid="{00000000-0005-0000-0000-000004000000}"/>
    <cellStyle name="20% - Accent1 3 3" xfId="19" xr:uid="{00000000-0005-0000-0000-000005000000}"/>
    <cellStyle name="20% - Accent1 4" xfId="20" xr:uid="{00000000-0005-0000-0000-000006000000}"/>
    <cellStyle name="20% - Accent1 5" xfId="21" xr:uid="{00000000-0005-0000-0000-000007000000}"/>
    <cellStyle name="20% - Accent1 6" xfId="22" xr:uid="{00000000-0005-0000-0000-000008000000}"/>
    <cellStyle name="20% - Accent1 7" xfId="23" xr:uid="{00000000-0005-0000-0000-000009000000}"/>
    <cellStyle name="20% - Accent1 8" xfId="24" xr:uid="{00000000-0005-0000-0000-00000A000000}"/>
    <cellStyle name="20% - Accent1 9" xfId="25" xr:uid="{00000000-0005-0000-0000-00000B000000}"/>
    <cellStyle name="20% - Accent2 2" xfId="26" xr:uid="{00000000-0005-0000-0000-00000C000000}"/>
    <cellStyle name="20% - Accent2 2 2" xfId="27" xr:uid="{00000000-0005-0000-0000-00000D000000}"/>
    <cellStyle name="20% - Accent2 2 3" xfId="1081" xr:uid="{00000000-0005-0000-0000-00000E000000}"/>
    <cellStyle name="20% - Accent2 3" xfId="28" xr:uid="{00000000-0005-0000-0000-00000F000000}"/>
    <cellStyle name="20% - Accent2 3 2" xfId="29" xr:uid="{00000000-0005-0000-0000-000010000000}"/>
    <cellStyle name="20% - Accent2 3 3" xfId="30" xr:uid="{00000000-0005-0000-0000-000011000000}"/>
    <cellStyle name="20% - Accent2 4" xfId="31" xr:uid="{00000000-0005-0000-0000-000012000000}"/>
    <cellStyle name="20% - Accent2 5" xfId="32" xr:uid="{00000000-0005-0000-0000-000013000000}"/>
    <cellStyle name="20% - Accent2 6" xfId="33" xr:uid="{00000000-0005-0000-0000-000014000000}"/>
    <cellStyle name="20% - Accent2 7" xfId="34" xr:uid="{00000000-0005-0000-0000-000015000000}"/>
    <cellStyle name="20% - Accent2 8" xfId="35" xr:uid="{00000000-0005-0000-0000-000016000000}"/>
    <cellStyle name="20% - Accent2 9" xfId="36" xr:uid="{00000000-0005-0000-0000-000017000000}"/>
    <cellStyle name="20% - Accent3 2" xfId="37" xr:uid="{00000000-0005-0000-0000-000018000000}"/>
    <cellStyle name="20% - Accent3 2 2" xfId="38" xr:uid="{00000000-0005-0000-0000-000019000000}"/>
    <cellStyle name="20% - Accent3 2 3" xfId="1082" xr:uid="{00000000-0005-0000-0000-00001A000000}"/>
    <cellStyle name="20% - Accent3 3" xfId="39" xr:uid="{00000000-0005-0000-0000-00001B000000}"/>
    <cellStyle name="20% - Accent3 3 2" xfId="40" xr:uid="{00000000-0005-0000-0000-00001C000000}"/>
    <cellStyle name="20% - Accent3 3 3" xfId="41" xr:uid="{00000000-0005-0000-0000-00001D000000}"/>
    <cellStyle name="20% - Accent3 4" xfId="42" xr:uid="{00000000-0005-0000-0000-00001E000000}"/>
    <cellStyle name="20% - Accent3 5" xfId="43" xr:uid="{00000000-0005-0000-0000-00001F000000}"/>
    <cellStyle name="20% - Accent3 6" xfId="44" xr:uid="{00000000-0005-0000-0000-000020000000}"/>
    <cellStyle name="20% - Accent3 7" xfId="45" xr:uid="{00000000-0005-0000-0000-000021000000}"/>
    <cellStyle name="20% - Accent3 8" xfId="46" xr:uid="{00000000-0005-0000-0000-000022000000}"/>
    <cellStyle name="20% - Accent3 9" xfId="47" xr:uid="{00000000-0005-0000-0000-000023000000}"/>
    <cellStyle name="20% - Accent4 2" xfId="48" xr:uid="{00000000-0005-0000-0000-000024000000}"/>
    <cellStyle name="20% - Accent4 2 2" xfId="49" xr:uid="{00000000-0005-0000-0000-000025000000}"/>
    <cellStyle name="20% - Accent4 2 3" xfId="1083" xr:uid="{00000000-0005-0000-0000-000026000000}"/>
    <cellStyle name="20% - Accent4 3" xfId="50" xr:uid="{00000000-0005-0000-0000-000027000000}"/>
    <cellStyle name="20% - Accent4 3 2" xfId="51" xr:uid="{00000000-0005-0000-0000-000028000000}"/>
    <cellStyle name="20% - Accent4 3 3" xfId="52" xr:uid="{00000000-0005-0000-0000-000029000000}"/>
    <cellStyle name="20% - Accent4 4" xfId="53" xr:uid="{00000000-0005-0000-0000-00002A000000}"/>
    <cellStyle name="20% - Accent4 5" xfId="54" xr:uid="{00000000-0005-0000-0000-00002B000000}"/>
    <cellStyle name="20% - Accent4 6" xfId="55" xr:uid="{00000000-0005-0000-0000-00002C000000}"/>
    <cellStyle name="20% - Accent4 7" xfId="56" xr:uid="{00000000-0005-0000-0000-00002D000000}"/>
    <cellStyle name="20% - Accent4 8" xfId="57" xr:uid="{00000000-0005-0000-0000-00002E000000}"/>
    <cellStyle name="20% - Accent4 9" xfId="58" xr:uid="{00000000-0005-0000-0000-00002F000000}"/>
    <cellStyle name="20% - Accent5 2" xfId="59" xr:uid="{00000000-0005-0000-0000-000030000000}"/>
    <cellStyle name="20% - Accent5 2 2" xfId="60" xr:uid="{00000000-0005-0000-0000-000031000000}"/>
    <cellStyle name="20% - Accent5 2 3" xfId="1084" xr:uid="{00000000-0005-0000-0000-000032000000}"/>
    <cellStyle name="20% - Accent5 3" xfId="61" xr:uid="{00000000-0005-0000-0000-000033000000}"/>
    <cellStyle name="20% - Accent5 3 2" xfId="62" xr:uid="{00000000-0005-0000-0000-000034000000}"/>
    <cellStyle name="20% - Accent5 3 3" xfId="63" xr:uid="{00000000-0005-0000-0000-000035000000}"/>
    <cellStyle name="20% - Accent5 4" xfId="64" xr:uid="{00000000-0005-0000-0000-000036000000}"/>
    <cellStyle name="20% - Accent5 5" xfId="65" xr:uid="{00000000-0005-0000-0000-000037000000}"/>
    <cellStyle name="20% - Accent5 6" xfId="66" xr:uid="{00000000-0005-0000-0000-000038000000}"/>
    <cellStyle name="20% - Accent5 7" xfId="67" xr:uid="{00000000-0005-0000-0000-000039000000}"/>
    <cellStyle name="20% - Accent5 8" xfId="68" xr:uid="{00000000-0005-0000-0000-00003A000000}"/>
    <cellStyle name="20% - Accent5 9" xfId="69" xr:uid="{00000000-0005-0000-0000-00003B000000}"/>
    <cellStyle name="20% - Accent6 2" xfId="70" xr:uid="{00000000-0005-0000-0000-00003C000000}"/>
    <cellStyle name="20% - Accent6 2 2" xfId="71" xr:uid="{00000000-0005-0000-0000-00003D000000}"/>
    <cellStyle name="20% - Accent6 2 3" xfId="1085" xr:uid="{00000000-0005-0000-0000-00003E000000}"/>
    <cellStyle name="20% - Accent6 3" xfId="72" xr:uid="{00000000-0005-0000-0000-00003F000000}"/>
    <cellStyle name="20% - Accent6 3 2" xfId="73" xr:uid="{00000000-0005-0000-0000-000040000000}"/>
    <cellStyle name="20% - Accent6 3 3" xfId="74" xr:uid="{00000000-0005-0000-0000-000041000000}"/>
    <cellStyle name="20% - Accent6 4" xfId="75" xr:uid="{00000000-0005-0000-0000-000042000000}"/>
    <cellStyle name="20% - Accent6 5" xfId="76" xr:uid="{00000000-0005-0000-0000-000043000000}"/>
    <cellStyle name="20% - Accent6 6" xfId="77" xr:uid="{00000000-0005-0000-0000-000044000000}"/>
    <cellStyle name="20% - Accent6 7" xfId="78" xr:uid="{00000000-0005-0000-0000-000045000000}"/>
    <cellStyle name="20% - Accent6 8" xfId="79" xr:uid="{00000000-0005-0000-0000-000046000000}"/>
    <cellStyle name="20% - Accent6 9" xfId="80" xr:uid="{00000000-0005-0000-0000-000047000000}"/>
    <cellStyle name="40% - Accent1 2" xfId="81" xr:uid="{00000000-0005-0000-0000-000048000000}"/>
    <cellStyle name="40% - Accent1 2 2" xfId="82" xr:uid="{00000000-0005-0000-0000-000049000000}"/>
    <cellStyle name="40% - Accent1 2 3" xfId="1086" xr:uid="{00000000-0005-0000-0000-00004A000000}"/>
    <cellStyle name="40% - Accent1 3" xfId="83" xr:uid="{00000000-0005-0000-0000-00004B000000}"/>
    <cellStyle name="40% - Accent1 3 2" xfId="84" xr:uid="{00000000-0005-0000-0000-00004C000000}"/>
    <cellStyle name="40% - Accent1 3 3" xfId="85" xr:uid="{00000000-0005-0000-0000-00004D000000}"/>
    <cellStyle name="40% - Accent1 4" xfId="86" xr:uid="{00000000-0005-0000-0000-00004E000000}"/>
    <cellStyle name="40% - Accent1 5" xfId="87" xr:uid="{00000000-0005-0000-0000-00004F000000}"/>
    <cellStyle name="40% - Accent1 6" xfId="88" xr:uid="{00000000-0005-0000-0000-000050000000}"/>
    <cellStyle name="40% - Accent1 7" xfId="89" xr:uid="{00000000-0005-0000-0000-000051000000}"/>
    <cellStyle name="40% - Accent1 8" xfId="90" xr:uid="{00000000-0005-0000-0000-000052000000}"/>
    <cellStyle name="40% - Accent1 9" xfId="91" xr:uid="{00000000-0005-0000-0000-000053000000}"/>
    <cellStyle name="40% - Accent2 2" xfId="92" xr:uid="{00000000-0005-0000-0000-000054000000}"/>
    <cellStyle name="40% - Accent2 2 2" xfId="93" xr:uid="{00000000-0005-0000-0000-000055000000}"/>
    <cellStyle name="40% - Accent2 2 3" xfId="1087" xr:uid="{00000000-0005-0000-0000-000056000000}"/>
    <cellStyle name="40% - Accent2 3" xfId="94" xr:uid="{00000000-0005-0000-0000-000057000000}"/>
    <cellStyle name="40% - Accent2 3 2" xfId="95" xr:uid="{00000000-0005-0000-0000-000058000000}"/>
    <cellStyle name="40% - Accent2 3 3" xfId="96" xr:uid="{00000000-0005-0000-0000-000059000000}"/>
    <cellStyle name="40% - Accent2 4" xfId="97" xr:uid="{00000000-0005-0000-0000-00005A000000}"/>
    <cellStyle name="40% - Accent2 5" xfId="98" xr:uid="{00000000-0005-0000-0000-00005B000000}"/>
    <cellStyle name="40% - Accent2 6" xfId="99" xr:uid="{00000000-0005-0000-0000-00005C000000}"/>
    <cellStyle name="40% - Accent2 7" xfId="100" xr:uid="{00000000-0005-0000-0000-00005D000000}"/>
    <cellStyle name="40% - Accent2 8" xfId="101" xr:uid="{00000000-0005-0000-0000-00005E000000}"/>
    <cellStyle name="40% - Accent2 9" xfId="102" xr:uid="{00000000-0005-0000-0000-00005F000000}"/>
    <cellStyle name="40% - Accent3 2" xfId="103" xr:uid="{00000000-0005-0000-0000-000060000000}"/>
    <cellStyle name="40% - Accent3 2 2" xfId="104" xr:uid="{00000000-0005-0000-0000-000061000000}"/>
    <cellStyle name="40% - Accent3 2 3" xfId="1088" xr:uid="{00000000-0005-0000-0000-000062000000}"/>
    <cellStyle name="40% - Accent3 3" xfId="105" xr:uid="{00000000-0005-0000-0000-000063000000}"/>
    <cellStyle name="40% - Accent3 3 2" xfId="106" xr:uid="{00000000-0005-0000-0000-000064000000}"/>
    <cellStyle name="40% - Accent3 3 3" xfId="107" xr:uid="{00000000-0005-0000-0000-000065000000}"/>
    <cellStyle name="40% - Accent3 4" xfId="108" xr:uid="{00000000-0005-0000-0000-000066000000}"/>
    <cellStyle name="40% - Accent3 5" xfId="109" xr:uid="{00000000-0005-0000-0000-000067000000}"/>
    <cellStyle name="40% - Accent3 6" xfId="110" xr:uid="{00000000-0005-0000-0000-000068000000}"/>
    <cellStyle name="40% - Accent3 7" xfId="111" xr:uid="{00000000-0005-0000-0000-000069000000}"/>
    <cellStyle name="40% - Accent3 8" xfId="112" xr:uid="{00000000-0005-0000-0000-00006A000000}"/>
    <cellStyle name="40% - Accent3 9" xfId="113" xr:uid="{00000000-0005-0000-0000-00006B000000}"/>
    <cellStyle name="40% - Accent4 2" xfId="114" xr:uid="{00000000-0005-0000-0000-00006C000000}"/>
    <cellStyle name="40% - Accent4 2 2" xfId="115" xr:uid="{00000000-0005-0000-0000-00006D000000}"/>
    <cellStyle name="40% - Accent4 2 3" xfId="1089" xr:uid="{00000000-0005-0000-0000-00006E000000}"/>
    <cellStyle name="40% - Accent4 3" xfId="116" xr:uid="{00000000-0005-0000-0000-00006F000000}"/>
    <cellStyle name="40% - Accent4 3 2" xfId="117" xr:uid="{00000000-0005-0000-0000-000070000000}"/>
    <cellStyle name="40% - Accent4 3 3" xfId="118" xr:uid="{00000000-0005-0000-0000-000071000000}"/>
    <cellStyle name="40% - Accent4 4" xfId="119" xr:uid="{00000000-0005-0000-0000-000072000000}"/>
    <cellStyle name="40% - Accent4 5" xfId="120" xr:uid="{00000000-0005-0000-0000-000073000000}"/>
    <cellStyle name="40% - Accent4 6" xfId="121" xr:uid="{00000000-0005-0000-0000-000074000000}"/>
    <cellStyle name="40% - Accent4 7" xfId="122" xr:uid="{00000000-0005-0000-0000-000075000000}"/>
    <cellStyle name="40% - Accent4 8" xfId="123" xr:uid="{00000000-0005-0000-0000-000076000000}"/>
    <cellStyle name="40% - Accent4 9" xfId="124" xr:uid="{00000000-0005-0000-0000-000077000000}"/>
    <cellStyle name="40% - Accent5 2" xfId="125" xr:uid="{00000000-0005-0000-0000-000078000000}"/>
    <cellStyle name="40% - Accent5 2 2" xfId="126" xr:uid="{00000000-0005-0000-0000-000079000000}"/>
    <cellStyle name="40% - Accent5 2 3" xfId="1090" xr:uid="{00000000-0005-0000-0000-00007A000000}"/>
    <cellStyle name="40% - Accent5 3" xfId="127" xr:uid="{00000000-0005-0000-0000-00007B000000}"/>
    <cellStyle name="40% - Accent5 3 2" xfId="128" xr:uid="{00000000-0005-0000-0000-00007C000000}"/>
    <cellStyle name="40% - Accent5 3 3" xfId="129" xr:uid="{00000000-0005-0000-0000-00007D000000}"/>
    <cellStyle name="40% - Accent5 4" xfId="130" xr:uid="{00000000-0005-0000-0000-00007E000000}"/>
    <cellStyle name="40% - Accent5 5" xfId="131" xr:uid="{00000000-0005-0000-0000-00007F000000}"/>
    <cellStyle name="40% - Accent5 6" xfId="132" xr:uid="{00000000-0005-0000-0000-000080000000}"/>
    <cellStyle name="40% - Accent5 7" xfId="133" xr:uid="{00000000-0005-0000-0000-000081000000}"/>
    <cellStyle name="40% - Accent5 8" xfId="134" xr:uid="{00000000-0005-0000-0000-000082000000}"/>
    <cellStyle name="40% - Accent5 9" xfId="135" xr:uid="{00000000-0005-0000-0000-000083000000}"/>
    <cellStyle name="40% - Accent6 2" xfId="136" xr:uid="{00000000-0005-0000-0000-000084000000}"/>
    <cellStyle name="40% - Accent6 2 2" xfId="137" xr:uid="{00000000-0005-0000-0000-000085000000}"/>
    <cellStyle name="40% - Accent6 2 3" xfId="1091" xr:uid="{00000000-0005-0000-0000-000086000000}"/>
    <cellStyle name="40% - Accent6 3" xfId="138" xr:uid="{00000000-0005-0000-0000-000087000000}"/>
    <cellStyle name="40% - Accent6 3 2" xfId="139" xr:uid="{00000000-0005-0000-0000-000088000000}"/>
    <cellStyle name="40% - Accent6 3 3" xfId="140" xr:uid="{00000000-0005-0000-0000-000089000000}"/>
    <cellStyle name="40% - Accent6 4" xfId="141" xr:uid="{00000000-0005-0000-0000-00008A000000}"/>
    <cellStyle name="40% - Accent6 5" xfId="142" xr:uid="{00000000-0005-0000-0000-00008B000000}"/>
    <cellStyle name="40% - Accent6 6" xfId="143" xr:uid="{00000000-0005-0000-0000-00008C000000}"/>
    <cellStyle name="40% - Accent6 7" xfId="144" xr:uid="{00000000-0005-0000-0000-00008D000000}"/>
    <cellStyle name="40% - Accent6 8" xfId="145" xr:uid="{00000000-0005-0000-0000-00008E000000}"/>
    <cellStyle name="40% - Accent6 9" xfId="146" xr:uid="{00000000-0005-0000-0000-00008F000000}"/>
    <cellStyle name="60% - Accent1 2" xfId="147" xr:uid="{00000000-0005-0000-0000-000090000000}"/>
    <cellStyle name="60% - Accent1 2 2" xfId="1092" xr:uid="{00000000-0005-0000-0000-000091000000}"/>
    <cellStyle name="60% - Accent1 3" xfId="148" xr:uid="{00000000-0005-0000-0000-000092000000}"/>
    <cellStyle name="60% - Accent2 2" xfId="149" xr:uid="{00000000-0005-0000-0000-000093000000}"/>
    <cellStyle name="60% - Accent2 2 2" xfId="1093" xr:uid="{00000000-0005-0000-0000-000094000000}"/>
    <cellStyle name="60% - Accent2 3" xfId="150" xr:uid="{00000000-0005-0000-0000-000095000000}"/>
    <cellStyle name="60% - Accent3 2" xfId="151" xr:uid="{00000000-0005-0000-0000-000096000000}"/>
    <cellStyle name="60% - Accent3 2 2" xfId="1094" xr:uid="{00000000-0005-0000-0000-000097000000}"/>
    <cellStyle name="60% - Accent3 3" xfId="152" xr:uid="{00000000-0005-0000-0000-000098000000}"/>
    <cellStyle name="60% - Accent4 2" xfId="153" xr:uid="{00000000-0005-0000-0000-000099000000}"/>
    <cellStyle name="60% - Accent4 2 2" xfId="1095" xr:uid="{00000000-0005-0000-0000-00009A000000}"/>
    <cellStyle name="60% - Accent4 3" xfId="154" xr:uid="{00000000-0005-0000-0000-00009B000000}"/>
    <cellStyle name="60% - Accent5 2" xfId="155" xr:uid="{00000000-0005-0000-0000-00009C000000}"/>
    <cellStyle name="60% - Accent5 2 2" xfId="1096" xr:uid="{00000000-0005-0000-0000-00009D000000}"/>
    <cellStyle name="60% - Accent5 3" xfId="156" xr:uid="{00000000-0005-0000-0000-00009E000000}"/>
    <cellStyle name="60% - Accent6 2" xfId="157" xr:uid="{00000000-0005-0000-0000-00009F000000}"/>
    <cellStyle name="60% - Accent6 2 2" xfId="1097" xr:uid="{00000000-0005-0000-0000-0000A0000000}"/>
    <cellStyle name="60% - Accent6 3" xfId="158" xr:uid="{00000000-0005-0000-0000-0000A1000000}"/>
    <cellStyle name="Accent1 2" xfId="159" xr:uid="{00000000-0005-0000-0000-0000A2000000}"/>
    <cellStyle name="Accent1 2 2" xfId="1098" xr:uid="{00000000-0005-0000-0000-0000A3000000}"/>
    <cellStyle name="Accent1 3" xfId="160" xr:uid="{00000000-0005-0000-0000-0000A4000000}"/>
    <cellStyle name="Accent2 2" xfId="161" xr:uid="{00000000-0005-0000-0000-0000A5000000}"/>
    <cellStyle name="Accent2 2 2" xfId="1099" xr:uid="{00000000-0005-0000-0000-0000A6000000}"/>
    <cellStyle name="Accent2 3" xfId="162" xr:uid="{00000000-0005-0000-0000-0000A7000000}"/>
    <cellStyle name="Accent3 2" xfId="163" xr:uid="{00000000-0005-0000-0000-0000A8000000}"/>
    <cellStyle name="Accent3 2 2" xfId="1100" xr:uid="{00000000-0005-0000-0000-0000A9000000}"/>
    <cellStyle name="Accent3 3" xfId="164" xr:uid="{00000000-0005-0000-0000-0000AA000000}"/>
    <cellStyle name="Accent4 2" xfId="165" xr:uid="{00000000-0005-0000-0000-0000AB000000}"/>
    <cellStyle name="Accent4 2 2" xfId="1101" xr:uid="{00000000-0005-0000-0000-0000AC000000}"/>
    <cellStyle name="Accent4 3" xfId="166" xr:uid="{00000000-0005-0000-0000-0000AD000000}"/>
    <cellStyle name="Accent5 2" xfId="167" xr:uid="{00000000-0005-0000-0000-0000AE000000}"/>
    <cellStyle name="Accent5 3" xfId="168" xr:uid="{00000000-0005-0000-0000-0000AF000000}"/>
    <cellStyle name="Accent6 2" xfId="169" xr:uid="{00000000-0005-0000-0000-0000B0000000}"/>
    <cellStyle name="Accent6 2 2" xfId="1102" xr:uid="{00000000-0005-0000-0000-0000B1000000}"/>
    <cellStyle name="Accent6 3" xfId="170" xr:uid="{00000000-0005-0000-0000-0000B2000000}"/>
    <cellStyle name="Bad 2" xfId="171" xr:uid="{00000000-0005-0000-0000-0000B3000000}"/>
    <cellStyle name="Bad 2 2" xfId="1103" xr:uid="{00000000-0005-0000-0000-0000B4000000}"/>
    <cellStyle name="Bad 3" xfId="172" xr:uid="{00000000-0005-0000-0000-0000B5000000}"/>
    <cellStyle name="Calculation 2" xfId="173" xr:uid="{00000000-0005-0000-0000-0000B6000000}"/>
    <cellStyle name="Calculation 2 2" xfId="1104" xr:uid="{00000000-0005-0000-0000-0000B7000000}"/>
    <cellStyle name="Calculation 3" xfId="174" xr:uid="{00000000-0005-0000-0000-0000B8000000}"/>
    <cellStyle name="Check Cell 2" xfId="175" xr:uid="{00000000-0005-0000-0000-0000B9000000}"/>
    <cellStyle name="Check Cell 3" xfId="176" xr:uid="{00000000-0005-0000-0000-0000BA000000}"/>
    <cellStyle name="Comma 10" xfId="177" xr:uid="{00000000-0005-0000-0000-0000BB000000}"/>
    <cellStyle name="Comma 10 2" xfId="178" xr:uid="{00000000-0005-0000-0000-0000BC000000}"/>
    <cellStyle name="Comma 10 3" xfId="1068" xr:uid="{00000000-0005-0000-0000-0000BD000000}"/>
    <cellStyle name="Comma 10 3 2" xfId="1073" xr:uid="{00000000-0005-0000-0000-0000BE000000}"/>
    <cellStyle name="Comma 10 4" xfId="1225" xr:uid="{00000000-0005-0000-0000-0000BF000000}"/>
    <cellStyle name="Comma 11" xfId="179" xr:uid="{00000000-0005-0000-0000-0000C0000000}"/>
    <cellStyle name="Comma 11 2" xfId="180" xr:uid="{00000000-0005-0000-0000-0000C1000000}"/>
    <cellStyle name="Comma 12" xfId="181" xr:uid="{00000000-0005-0000-0000-0000C2000000}"/>
    <cellStyle name="Comma 12 2" xfId="182" xr:uid="{00000000-0005-0000-0000-0000C3000000}"/>
    <cellStyle name="Comma 13" xfId="183" xr:uid="{00000000-0005-0000-0000-0000C4000000}"/>
    <cellStyle name="Comma 13 2" xfId="184" xr:uid="{00000000-0005-0000-0000-0000C5000000}"/>
    <cellStyle name="Comma 14" xfId="185" xr:uid="{00000000-0005-0000-0000-0000C6000000}"/>
    <cellStyle name="Comma 14 2" xfId="186" xr:uid="{00000000-0005-0000-0000-0000C7000000}"/>
    <cellStyle name="Comma 15" xfId="187" xr:uid="{00000000-0005-0000-0000-0000C8000000}"/>
    <cellStyle name="Comma 15 2" xfId="188" xr:uid="{00000000-0005-0000-0000-0000C9000000}"/>
    <cellStyle name="Comma 16" xfId="189" xr:uid="{00000000-0005-0000-0000-0000CA000000}"/>
    <cellStyle name="Comma 16 2" xfId="190" xr:uid="{00000000-0005-0000-0000-0000CB000000}"/>
    <cellStyle name="Comma 17" xfId="191" xr:uid="{00000000-0005-0000-0000-0000CC000000}"/>
    <cellStyle name="Comma 17 2" xfId="192" xr:uid="{00000000-0005-0000-0000-0000CD000000}"/>
    <cellStyle name="Comma 18" xfId="193" xr:uid="{00000000-0005-0000-0000-0000CE000000}"/>
    <cellStyle name="Comma 18 2" xfId="194" xr:uid="{00000000-0005-0000-0000-0000CF000000}"/>
    <cellStyle name="Comma 19" xfId="195" xr:uid="{00000000-0005-0000-0000-0000D0000000}"/>
    <cellStyle name="Comma 2" xfId="12" xr:uid="{00000000-0005-0000-0000-0000D1000000}"/>
    <cellStyle name="Comma 2 2" xfId="196" xr:uid="{00000000-0005-0000-0000-0000D2000000}"/>
    <cellStyle name="Comma 2 2 2" xfId="1078" xr:uid="{00000000-0005-0000-0000-0000D3000000}"/>
    <cellStyle name="Comma 2 3" xfId="197" xr:uid="{00000000-0005-0000-0000-0000D4000000}"/>
    <cellStyle name="Comma 2 4" xfId="198" xr:uid="{00000000-0005-0000-0000-0000D5000000}"/>
    <cellStyle name="Comma 2 5" xfId="199" xr:uid="{00000000-0005-0000-0000-0000D6000000}"/>
    <cellStyle name="Comma 2 6" xfId="1219" xr:uid="{00000000-0005-0000-0000-0000D7000000}"/>
    <cellStyle name="Comma 2 7" xfId="1214" xr:uid="{00000000-0005-0000-0000-0000D8000000}"/>
    <cellStyle name="Comma 20" xfId="200" xr:uid="{00000000-0005-0000-0000-0000D9000000}"/>
    <cellStyle name="Comma 21" xfId="201" xr:uid="{00000000-0005-0000-0000-0000DA000000}"/>
    <cellStyle name="Comma 22" xfId="202" xr:uid="{00000000-0005-0000-0000-0000DB000000}"/>
    <cellStyle name="Comma 23" xfId="203" xr:uid="{00000000-0005-0000-0000-0000DC000000}"/>
    <cellStyle name="Comma 24" xfId="204" xr:uid="{00000000-0005-0000-0000-0000DD000000}"/>
    <cellStyle name="Comma 25" xfId="205" xr:uid="{00000000-0005-0000-0000-0000DE000000}"/>
    <cellStyle name="Comma 26" xfId="206" xr:uid="{00000000-0005-0000-0000-0000DF000000}"/>
    <cellStyle name="Comma 27" xfId="207" xr:uid="{00000000-0005-0000-0000-0000E0000000}"/>
    <cellStyle name="Comma 28" xfId="208" xr:uid="{00000000-0005-0000-0000-0000E1000000}"/>
    <cellStyle name="Comma 29" xfId="1059" xr:uid="{00000000-0005-0000-0000-0000E2000000}"/>
    <cellStyle name="Comma 3" xfId="209" xr:uid="{00000000-0005-0000-0000-0000E3000000}"/>
    <cellStyle name="Comma 3 10" xfId="210" xr:uid="{00000000-0005-0000-0000-0000E4000000}"/>
    <cellStyle name="Comma 3 11" xfId="211" xr:uid="{00000000-0005-0000-0000-0000E5000000}"/>
    <cellStyle name="Comma 3 12" xfId="212" xr:uid="{00000000-0005-0000-0000-0000E6000000}"/>
    <cellStyle name="Comma 3 13" xfId="213" xr:uid="{00000000-0005-0000-0000-0000E7000000}"/>
    <cellStyle name="Comma 3 14" xfId="1105" xr:uid="{00000000-0005-0000-0000-0000E8000000}"/>
    <cellStyle name="Comma 3 2" xfId="214" xr:uid="{00000000-0005-0000-0000-0000E9000000}"/>
    <cellStyle name="Comma 3 2 2" xfId="1153" xr:uid="{00000000-0005-0000-0000-0000EA000000}"/>
    <cellStyle name="Comma 3 3" xfId="215" xr:uid="{00000000-0005-0000-0000-0000EB000000}"/>
    <cellStyle name="Comma 3 3 2" xfId="216" xr:uid="{00000000-0005-0000-0000-0000EC000000}"/>
    <cellStyle name="Comma 3 4" xfId="217" xr:uid="{00000000-0005-0000-0000-0000ED000000}"/>
    <cellStyle name="Comma 3 4 2" xfId="218" xr:uid="{00000000-0005-0000-0000-0000EE000000}"/>
    <cellStyle name="Comma 3 5" xfId="219" xr:uid="{00000000-0005-0000-0000-0000EF000000}"/>
    <cellStyle name="Comma 3 5 2" xfId="220" xr:uid="{00000000-0005-0000-0000-0000F0000000}"/>
    <cellStyle name="Comma 3 6" xfId="221" xr:uid="{00000000-0005-0000-0000-0000F1000000}"/>
    <cellStyle name="Comma 3 6 2" xfId="222" xr:uid="{00000000-0005-0000-0000-0000F2000000}"/>
    <cellStyle name="Comma 3 7" xfId="223" xr:uid="{00000000-0005-0000-0000-0000F3000000}"/>
    <cellStyle name="Comma 3 7 2" xfId="224" xr:uid="{00000000-0005-0000-0000-0000F4000000}"/>
    <cellStyle name="Comma 3 8" xfId="225" xr:uid="{00000000-0005-0000-0000-0000F5000000}"/>
    <cellStyle name="Comma 3 8 2" xfId="226" xr:uid="{00000000-0005-0000-0000-0000F6000000}"/>
    <cellStyle name="Comma 3 9" xfId="227" xr:uid="{00000000-0005-0000-0000-0000F7000000}"/>
    <cellStyle name="Comma 3 9 2" xfId="228" xr:uid="{00000000-0005-0000-0000-0000F8000000}"/>
    <cellStyle name="Comma 30" xfId="1075" xr:uid="{00000000-0005-0000-0000-0000F9000000}"/>
    <cellStyle name="Comma 31" xfId="1209" xr:uid="{00000000-0005-0000-0000-0000FA000000}"/>
    <cellStyle name="Comma 32" xfId="1260" xr:uid="{00000000-0005-0000-0000-0000FB000000}"/>
    <cellStyle name="Comma 33" xfId="1049" xr:uid="{00000000-0005-0000-0000-0000FC000000}"/>
    <cellStyle name="Comma 4" xfId="229" xr:uid="{00000000-0005-0000-0000-0000FD000000}"/>
    <cellStyle name="Comma 4 2" xfId="230" xr:uid="{00000000-0005-0000-0000-0000FE000000}"/>
    <cellStyle name="Comma 5" xfId="231" xr:uid="{00000000-0005-0000-0000-0000FF000000}"/>
    <cellStyle name="Comma 5 2" xfId="232" xr:uid="{00000000-0005-0000-0000-000000010000}"/>
    <cellStyle name="Comma 5 3" xfId="233" xr:uid="{00000000-0005-0000-0000-000001010000}"/>
    <cellStyle name="Comma 6" xfId="234" xr:uid="{00000000-0005-0000-0000-000002010000}"/>
    <cellStyle name="Comma 6 2" xfId="235" xr:uid="{00000000-0005-0000-0000-000003010000}"/>
    <cellStyle name="Comma 7" xfId="236" xr:uid="{00000000-0005-0000-0000-000004010000}"/>
    <cellStyle name="Comma 7 2" xfId="237" xr:uid="{00000000-0005-0000-0000-000005010000}"/>
    <cellStyle name="Comma 7 2 2" xfId="238" xr:uid="{00000000-0005-0000-0000-000006010000}"/>
    <cellStyle name="Comma 7 3" xfId="239" xr:uid="{00000000-0005-0000-0000-000007010000}"/>
    <cellStyle name="Comma 7 3 2" xfId="240" xr:uid="{00000000-0005-0000-0000-000008010000}"/>
    <cellStyle name="Comma 7 4" xfId="241" xr:uid="{00000000-0005-0000-0000-000009010000}"/>
    <cellStyle name="Comma 7 4 2" xfId="242" xr:uid="{00000000-0005-0000-0000-00000A010000}"/>
    <cellStyle name="Comma 7 5" xfId="243" xr:uid="{00000000-0005-0000-0000-00000B010000}"/>
    <cellStyle name="Comma 7 5 2" xfId="244" xr:uid="{00000000-0005-0000-0000-00000C010000}"/>
    <cellStyle name="Comma 7 6" xfId="245" xr:uid="{00000000-0005-0000-0000-00000D010000}"/>
    <cellStyle name="Comma 7 6 2" xfId="246" xr:uid="{00000000-0005-0000-0000-00000E010000}"/>
    <cellStyle name="Comma 7 7" xfId="247" xr:uid="{00000000-0005-0000-0000-00000F010000}"/>
    <cellStyle name="Comma 7 8" xfId="248" xr:uid="{00000000-0005-0000-0000-000010010000}"/>
    <cellStyle name="Comma 7 9" xfId="249" xr:uid="{00000000-0005-0000-0000-000011010000}"/>
    <cellStyle name="Comma 8" xfId="250" xr:uid="{00000000-0005-0000-0000-000012010000}"/>
    <cellStyle name="Comma 8 2" xfId="251" xr:uid="{00000000-0005-0000-0000-000013010000}"/>
    <cellStyle name="Comma 9" xfId="252" xr:uid="{00000000-0005-0000-0000-000014010000}"/>
    <cellStyle name="Comma 9 2" xfId="253" xr:uid="{00000000-0005-0000-0000-000015010000}"/>
    <cellStyle name="Comma0" xfId="254" xr:uid="{00000000-0005-0000-0000-000016010000}"/>
    <cellStyle name="Comma0 - Style4" xfId="255" xr:uid="{00000000-0005-0000-0000-000017010000}"/>
    <cellStyle name="Comma1 - Style1" xfId="256" xr:uid="{00000000-0005-0000-0000-000018010000}"/>
    <cellStyle name="Curren - Style2" xfId="257" xr:uid="{00000000-0005-0000-0000-000019010000}"/>
    <cellStyle name="Currency" xfId="1" builtinId="4"/>
    <cellStyle name="Currency 10" xfId="258" xr:uid="{00000000-0005-0000-0000-00001B010000}"/>
    <cellStyle name="Currency 10 2" xfId="259" xr:uid="{00000000-0005-0000-0000-00001C010000}"/>
    <cellStyle name="Currency 11" xfId="260" xr:uid="{00000000-0005-0000-0000-00001D010000}"/>
    <cellStyle name="Currency 11 2" xfId="261" xr:uid="{00000000-0005-0000-0000-00001E010000}"/>
    <cellStyle name="Currency 12" xfId="262" xr:uid="{00000000-0005-0000-0000-00001F010000}"/>
    <cellStyle name="Currency 13" xfId="263" xr:uid="{00000000-0005-0000-0000-000020010000}"/>
    <cellStyle name="Currency 14" xfId="264" xr:uid="{00000000-0005-0000-0000-000021010000}"/>
    <cellStyle name="Currency 15" xfId="265" xr:uid="{00000000-0005-0000-0000-000022010000}"/>
    <cellStyle name="Currency 15 2" xfId="1067" xr:uid="{00000000-0005-0000-0000-000023010000}"/>
    <cellStyle name="Currency 15 2 2" xfId="1072" xr:uid="{00000000-0005-0000-0000-000024010000}"/>
    <cellStyle name="Currency 16" xfId="266" xr:uid="{00000000-0005-0000-0000-000025010000}"/>
    <cellStyle name="Currency 17" xfId="267" xr:uid="{00000000-0005-0000-0000-000026010000}"/>
    <cellStyle name="Currency 18" xfId="268" xr:uid="{00000000-0005-0000-0000-000027010000}"/>
    <cellStyle name="Currency 19" xfId="269" xr:uid="{00000000-0005-0000-0000-000028010000}"/>
    <cellStyle name="Currency 2" xfId="4" xr:uid="{00000000-0005-0000-0000-000029010000}"/>
    <cellStyle name="Currency 2 2" xfId="270" xr:uid="{00000000-0005-0000-0000-00002A010000}"/>
    <cellStyle name="Currency 2 3" xfId="1106" xr:uid="{00000000-0005-0000-0000-00002B010000}"/>
    <cellStyle name="Currency 2 4" xfId="1244" xr:uid="{00000000-0005-0000-0000-00002C010000}"/>
    <cellStyle name="Currency 2 5" xfId="13" xr:uid="{00000000-0005-0000-0000-00002D010000}"/>
    <cellStyle name="Currency 20" xfId="1064" xr:uid="{00000000-0005-0000-0000-00002E010000}"/>
    <cellStyle name="Currency 21" xfId="1210" xr:uid="{00000000-0005-0000-0000-00002F010000}"/>
    <cellStyle name="Currency 22" xfId="1223" xr:uid="{00000000-0005-0000-0000-000030010000}"/>
    <cellStyle name="Currency 23" xfId="1261" xr:uid="{00000000-0005-0000-0000-000031010000}"/>
    <cellStyle name="Currency 24" xfId="1050" xr:uid="{00000000-0005-0000-0000-000032010000}"/>
    <cellStyle name="Currency 3" xfId="271" xr:uid="{00000000-0005-0000-0000-000033010000}"/>
    <cellStyle name="Currency 3 10" xfId="272" xr:uid="{00000000-0005-0000-0000-000034010000}"/>
    <cellStyle name="Currency 3 11" xfId="1107" xr:uid="{00000000-0005-0000-0000-000035010000}"/>
    <cellStyle name="Currency 3 12" xfId="1249" xr:uid="{00000000-0005-0000-0000-000036010000}"/>
    <cellStyle name="Currency 3 2" xfId="273" xr:uid="{00000000-0005-0000-0000-000037010000}"/>
    <cellStyle name="Currency 3 2 2" xfId="274" xr:uid="{00000000-0005-0000-0000-000038010000}"/>
    <cellStyle name="Currency 3 3" xfId="275" xr:uid="{00000000-0005-0000-0000-000039010000}"/>
    <cellStyle name="Currency 3 3 2" xfId="276" xr:uid="{00000000-0005-0000-0000-00003A010000}"/>
    <cellStyle name="Currency 3 4" xfId="277" xr:uid="{00000000-0005-0000-0000-00003B010000}"/>
    <cellStyle name="Currency 3 4 2" xfId="278" xr:uid="{00000000-0005-0000-0000-00003C010000}"/>
    <cellStyle name="Currency 3 5" xfId="279" xr:uid="{00000000-0005-0000-0000-00003D010000}"/>
    <cellStyle name="Currency 3 5 2" xfId="280" xr:uid="{00000000-0005-0000-0000-00003E010000}"/>
    <cellStyle name="Currency 3 6" xfId="281" xr:uid="{00000000-0005-0000-0000-00003F010000}"/>
    <cellStyle name="Currency 3 6 2" xfId="282" xr:uid="{00000000-0005-0000-0000-000040010000}"/>
    <cellStyle name="Currency 3 7" xfId="283" xr:uid="{00000000-0005-0000-0000-000041010000}"/>
    <cellStyle name="Currency 3 7 2" xfId="284" xr:uid="{00000000-0005-0000-0000-000042010000}"/>
    <cellStyle name="Currency 3 8" xfId="285" xr:uid="{00000000-0005-0000-0000-000043010000}"/>
    <cellStyle name="Currency 3 9" xfId="286" xr:uid="{00000000-0005-0000-0000-000044010000}"/>
    <cellStyle name="Currency 4" xfId="287" xr:uid="{00000000-0005-0000-0000-000045010000}"/>
    <cellStyle name="Currency 4 2" xfId="288" xr:uid="{00000000-0005-0000-0000-000046010000}"/>
    <cellStyle name="Currency 4 3" xfId="289" xr:uid="{00000000-0005-0000-0000-000047010000}"/>
    <cellStyle name="Currency 5" xfId="290" xr:uid="{00000000-0005-0000-0000-000048010000}"/>
    <cellStyle name="Currency 6" xfId="291" xr:uid="{00000000-0005-0000-0000-000049010000}"/>
    <cellStyle name="Currency 6 2" xfId="292" xr:uid="{00000000-0005-0000-0000-00004A010000}"/>
    <cellStyle name="Currency 7" xfId="293" xr:uid="{00000000-0005-0000-0000-00004B010000}"/>
    <cellStyle name="Currency 7 2" xfId="294" xr:uid="{00000000-0005-0000-0000-00004C010000}"/>
    <cellStyle name="Currency 8" xfId="295" xr:uid="{00000000-0005-0000-0000-00004D010000}"/>
    <cellStyle name="Currency 8 2" xfId="296" xr:uid="{00000000-0005-0000-0000-00004E010000}"/>
    <cellStyle name="Currency 9" xfId="297" xr:uid="{00000000-0005-0000-0000-00004F010000}"/>
    <cellStyle name="Currency 9 2" xfId="298" xr:uid="{00000000-0005-0000-0000-000050010000}"/>
    <cellStyle name="Currency0" xfId="299" xr:uid="{00000000-0005-0000-0000-000051010000}"/>
    <cellStyle name="Date" xfId="300" xr:uid="{00000000-0005-0000-0000-000052010000}"/>
    <cellStyle name="Date 2" xfId="1108" xr:uid="{00000000-0005-0000-0000-000053010000}"/>
    <cellStyle name="Days" xfId="1109" xr:uid="{00000000-0005-0000-0000-000054010000}"/>
    <cellStyle name="Delphis" xfId="1110" xr:uid="{00000000-0005-0000-0000-000055010000}"/>
    <cellStyle name="Entered" xfId="301" xr:uid="{00000000-0005-0000-0000-000056010000}"/>
    <cellStyle name="Explanatory Text 2" xfId="302" xr:uid="{00000000-0005-0000-0000-000057010000}"/>
    <cellStyle name="Explanatory Text 3" xfId="303" xr:uid="{00000000-0005-0000-0000-000058010000}"/>
    <cellStyle name="Fixed" xfId="304" xr:uid="{00000000-0005-0000-0000-000059010000}"/>
    <cellStyle name="Formula" xfId="1111" xr:uid="{00000000-0005-0000-0000-00005A010000}"/>
    <cellStyle name="Good 2" xfId="305" xr:uid="{00000000-0005-0000-0000-00005B010000}"/>
    <cellStyle name="Good 2 2" xfId="1112" xr:uid="{00000000-0005-0000-0000-00005C010000}"/>
    <cellStyle name="Good 3" xfId="306" xr:uid="{00000000-0005-0000-0000-00005D010000}"/>
    <cellStyle name="Grey" xfId="307" xr:uid="{00000000-0005-0000-0000-00005E010000}"/>
    <cellStyle name="Heading 1 2" xfId="308" xr:uid="{00000000-0005-0000-0000-00005F010000}"/>
    <cellStyle name="Heading 1 2 2" xfId="1113" xr:uid="{00000000-0005-0000-0000-000060010000}"/>
    <cellStyle name="Heading 1 3" xfId="309" xr:uid="{00000000-0005-0000-0000-000061010000}"/>
    <cellStyle name="Heading 2 2" xfId="310" xr:uid="{00000000-0005-0000-0000-000062010000}"/>
    <cellStyle name="Heading 2 2 2" xfId="1114" xr:uid="{00000000-0005-0000-0000-000063010000}"/>
    <cellStyle name="Heading 2 3" xfId="311" xr:uid="{00000000-0005-0000-0000-000064010000}"/>
    <cellStyle name="Heading 3 2" xfId="312" xr:uid="{00000000-0005-0000-0000-000065010000}"/>
    <cellStyle name="Heading 3 2 2" xfId="1115" xr:uid="{00000000-0005-0000-0000-000066010000}"/>
    <cellStyle name="Heading 3 3" xfId="313" xr:uid="{00000000-0005-0000-0000-000067010000}"/>
    <cellStyle name="Heading 4 2" xfId="314" xr:uid="{00000000-0005-0000-0000-000068010000}"/>
    <cellStyle name="Heading 4 2 2" xfId="1116" xr:uid="{00000000-0005-0000-0000-000069010000}"/>
    <cellStyle name="Heading 4 3" xfId="315" xr:uid="{00000000-0005-0000-0000-00006A010000}"/>
    <cellStyle name="Heading1" xfId="316" xr:uid="{00000000-0005-0000-0000-00006B010000}"/>
    <cellStyle name="Heading2" xfId="317" xr:uid="{00000000-0005-0000-0000-00006C010000}"/>
    <cellStyle name="Headings" xfId="318" xr:uid="{00000000-0005-0000-0000-00006D010000}"/>
    <cellStyle name="Hidden" xfId="319" xr:uid="{00000000-0005-0000-0000-00006E010000}"/>
    <cellStyle name="Hidden 2" xfId="1117" xr:uid="{00000000-0005-0000-0000-00006F010000}"/>
    <cellStyle name="Hidden 3" xfId="1226" xr:uid="{00000000-0005-0000-0000-000070010000}"/>
    <cellStyle name="Hyperlink 2" xfId="320" xr:uid="{00000000-0005-0000-0000-000071010000}"/>
    <cellStyle name="Hyperlink 3" xfId="321" xr:uid="{00000000-0005-0000-0000-000072010000}"/>
    <cellStyle name="Hyperlink 4" xfId="1227" xr:uid="{00000000-0005-0000-0000-000073010000}"/>
    <cellStyle name="Input [yellow]" xfId="322" xr:uid="{00000000-0005-0000-0000-000074010000}"/>
    <cellStyle name="Input 10" xfId="323" xr:uid="{00000000-0005-0000-0000-000075010000}"/>
    <cellStyle name="Input 100" xfId="324" xr:uid="{00000000-0005-0000-0000-000076010000}"/>
    <cellStyle name="Input 101" xfId="325" xr:uid="{00000000-0005-0000-0000-000077010000}"/>
    <cellStyle name="Input 102" xfId="326" xr:uid="{00000000-0005-0000-0000-000078010000}"/>
    <cellStyle name="Input 103" xfId="327" xr:uid="{00000000-0005-0000-0000-000079010000}"/>
    <cellStyle name="Input 104" xfId="328" xr:uid="{00000000-0005-0000-0000-00007A010000}"/>
    <cellStyle name="Input 105" xfId="329" xr:uid="{00000000-0005-0000-0000-00007B010000}"/>
    <cellStyle name="Input 106" xfId="330" xr:uid="{00000000-0005-0000-0000-00007C010000}"/>
    <cellStyle name="Input 107" xfId="331" xr:uid="{00000000-0005-0000-0000-00007D010000}"/>
    <cellStyle name="Input 108" xfId="332" xr:uid="{00000000-0005-0000-0000-00007E010000}"/>
    <cellStyle name="Input 109" xfId="333" xr:uid="{00000000-0005-0000-0000-00007F010000}"/>
    <cellStyle name="Input 11" xfId="334" xr:uid="{00000000-0005-0000-0000-000080010000}"/>
    <cellStyle name="Input 110" xfId="335" xr:uid="{00000000-0005-0000-0000-000081010000}"/>
    <cellStyle name="Input 111" xfId="1053" xr:uid="{00000000-0005-0000-0000-000082010000}"/>
    <cellStyle name="Input 112" xfId="1054" xr:uid="{00000000-0005-0000-0000-000083010000}"/>
    <cellStyle name="Input 113" xfId="1228" xr:uid="{00000000-0005-0000-0000-000084010000}"/>
    <cellStyle name="Input 114" xfId="1236" xr:uid="{00000000-0005-0000-0000-000085010000}"/>
    <cellStyle name="Input 12" xfId="336" xr:uid="{00000000-0005-0000-0000-000086010000}"/>
    <cellStyle name="Input 13" xfId="337" xr:uid="{00000000-0005-0000-0000-000087010000}"/>
    <cellStyle name="Input 14" xfId="338" xr:uid="{00000000-0005-0000-0000-000088010000}"/>
    <cellStyle name="Input 15" xfId="339" xr:uid="{00000000-0005-0000-0000-000089010000}"/>
    <cellStyle name="Input 16" xfId="340" xr:uid="{00000000-0005-0000-0000-00008A010000}"/>
    <cellStyle name="Input 17" xfId="341" xr:uid="{00000000-0005-0000-0000-00008B010000}"/>
    <cellStyle name="Input 18" xfId="342" xr:uid="{00000000-0005-0000-0000-00008C010000}"/>
    <cellStyle name="Input 19" xfId="343" xr:uid="{00000000-0005-0000-0000-00008D010000}"/>
    <cellStyle name="Input 2" xfId="344" xr:uid="{00000000-0005-0000-0000-00008E010000}"/>
    <cellStyle name="Input 2 2" xfId="345" xr:uid="{00000000-0005-0000-0000-00008F010000}"/>
    <cellStyle name="Input 2 3" xfId="346" xr:uid="{00000000-0005-0000-0000-000090010000}"/>
    <cellStyle name="Input 2 4" xfId="1118" xr:uid="{00000000-0005-0000-0000-000091010000}"/>
    <cellStyle name="Input 20" xfId="347" xr:uid="{00000000-0005-0000-0000-000092010000}"/>
    <cellStyle name="Input 21" xfId="348" xr:uid="{00000000-0005-0000-0000-000093010000}"/>
    <cellStyle name="Input 22" xfId="349" xr:uid="{00000000-0005-0000-0000-000094010000}"/>
    <cellStyle name="Input 23" xfId="350" xr:uid="{00000000-0005-0000-0000-000095010000}"/>
    <cellStyle name="Input 24" xfId="351" xr:uid="{00000000-0005-0000-0000-000096010000}"/>
    <cellStyle name="Input 25" xfId="352" xr:uid="{00000000-0005-0000-0000-000097010000}"/>
    <cellStyle name="Input 26" xfId="353" xr:uid="{00000000-0005-0000-0000-000098010000}"/>
    <cellStyle name="Input 27" xfId="354" xr:uid="{00000000-0005-0000-0000-000099010000}"/>
    <cellStyle name="Input 28" xfId="355" xr:uid="{00000000-0005-0000-0000-00009A010000}"/>
    <cellStyle name="Input 29" xfId="356" xr:uid="{00000000-0005-0000-0000-00009B010000}"/>
    <cellStyle name="Input 3" xfId="357" xr:uid="{00000000-0005-0000-0000-00009C010000}"/>
    <cellStyle name="Input 30" xfId="358" xr:uid="{00000000-0005-0000-0000-00009D010000}"/>
    <cellStyle name="Input 31" xfId="359" xr:uid="{00000000-0005-0000-0000-00009E010000}"/>
    <cellStyle name="Input 32" xfId="360" xr:uid="{00000000-0005-0000-0000-00009F010000}"/>
    <cellStyle name="Input 33" xfId="361" xr:uid="{00000000-0005-0000-0000-0000A0010000}"/>
    <cellStyle name="Input 34" xfId="362" xr:uid="{00000000-0005-0000-0000-0000A1010000}"/>
    <cellStyle name="Input 35" xfId="363" xr:uid="{00000000-0005-0000-0000-0000A2010000}"/>
    <cellStyle name="Input 36" xfId="364" xr:uid="{00000000-0005-0000-0000-0000A3010000}"/>
    <cellStyle name="Input 37" xfId="365" xr:uid="{00000000-0005-0000-0000-0000A4010000}"/>
    <cellStyle name="Input 38" xfId="366" xr:uid="{00000000-0005-0000-0000-0000A5010000}"/>
    <cellStyle name="Input 39" xfId="367" xr:uid="{00000000-0005-0000-0000-0000A6010000}"/>
    <cellStyle name="Input 4" xfId="368" xr:uid="{00000000-0005-0000-0000-0000A7010000}"/>
    <cellStyle name="Input 40" xfId="369" xr:uid="{00000000-0005-0000-0000-0000A8010000}"/>
    <cellStyle name="Input 41" xfId="370" xr:uid="{00000000-0005-0000-0000-0000A9010000}"/>
    <cellStyle name="Input 42" xfId="371" xr:uid="{00000000-0005-0000-0000-0000AA010000}"/>
    <cellStyle name="Input 43" xfId="372" xr:uid="{00000000-0005-0000-0000-0000AB010000}"/>
    <cellStyle name="Input 44" xfId="373" xr:uid="{00000000-0005-0000-0000-0000AC010000}"/>
    <cellStyle name="Input 45" xfId="374" xr:uid="{00000000-0005-0000-0000-0000AD010000}"/>
    <cellStyle name="Input 46" xfId="375" xr:uid="{00000000-0005-0000-0000-0000AE010000}"/>
    <cellStyle name="Input 47" xfId="376" xr:uid="{00000000-0005-0000-0000-0000AF010000}"/>
    <cellStyle name="Input 48" xfId="377" xr:uid="{00000000-0005-0000-0000-0000B0010000}"/>
    <cellStyle name="Input 49" xfId="378" xr:uid="{00000000-0005-0000-0000-0000B1010000}"/>
    <cellStyle name="Input 5" xfId="379" xr:uid="{00000000-0005-0000-0000-0000B2010000}"/>
    <cellStyle name="Input 50" xfId="380" xr:uid="{00000000-0005-0000-0000-0000B3010000}"/>
    <cellStyle name="Input 51" xfId="381" xr:uid="{00000000-0005-0000-0000-0000B4010000}"/>
    <cellStyle name="Input 52" xfId="382" xr:uid="{00000000-0005-0000-0000-0000B5010000}"/>
    <cellStyle name="Input 53" xfId="383" xr:uid="{00000000-0005-0000-0000-0000B6010000}"/>
    <cellStyle name="Input 54" xfId="384" xr:uid="{00000000-0005-0000-0000-0000B7010000}"/>
    <cellStyle name="Input 55" xfId="385" xr:uid="{00000000-0005-0000-0000-0000B8010000}"/>
    <cellStyle name="Input 56" xfId="386" xr:uid="{00000000-0005-0000-0000-0000B9010000}"/>
    <cellStyle name="Input 57" xfId="387" xr:uid="{00000000-0005-0000-0000-0000BA010000}"/>
    <cellStyle name="Input 58" xfId="388" xr:uid="{00000000-0005-0000-0000-0000BB010000}"/>
    <cellStyle name="Input 59" xfId="389" xr:uid="{00000000-0005-0000-0000-0000BC010000}"/>
    <cellStyle name="Input 6" xfId="390" xr:uid="{00000000-0005-0000-0000-0000BD010000}"/>
    <cellStyle name="Input 60" xfId="391" xr:uid="{00000000-0005-0000-0000-0000BE010000}"/>
    <cellStyle name="Input 61" xfId="392" xr:uid="{00000000-0005-0000-0000-0000BF010000}"/>
    <cellStyle name="Input 62" xfId="393" xr:uid="{00000000-0005-0000-0000-0000C0010000}"/>
    <cellStyle name="Input 63" xfId="394" xr:uid="{00000000-0005-0000-0000-0000C1010000}"/>
    <cellStyle name="Input 64" xfId="395" xr:uid="{00000000-0005-0000-0000-0000C2010000}"/>
    <cellStyle name="Input 65" xfId="396" xr:uid="{00000000-0005-0000-0000-0000C3010000}"/>
    <cellStyle name="Input 66" xfId="397" xr:uid="{00000000-0005-0000-0000-0000C4010000}"/>
    <cellStyle name="Input 67" xfId="398" xr:uid="{00000000-0005-0000-0000-0000C5010000}"/>
    <cellStyle name="Input 68" xfId="399" xr:uid="{00000000-0005-0000-0000-0000C6010000}"/>
    <cellStyle name="Input 69" xfId="400" xr:uid="{00000000-0005-0000-0000-0000C7010000}"/>
    <cellStyle name="Input 7" xfId="401" xr:uid="{00000000-0005-0000-0000-0000C8010000}"/>
    <cellStyle name="Input 70" xfId="402" xr:uid="{00000000-0005-0000-0000-0000C9010000}"/>
    <cellStyle name="Input 71" xfId="403" xr:uid="{00000000-0005-0000-0000-0000CA010000}"/>
    <cellStyle name="Input 72" xfId="404" xr:uid="{00000000-0005-0000-0000-0000CB010000}"/>
    <cellStyle name="Input 73" xfId="405" xr:uid="{00000000-0005-0000-0000-0000CC010000}"/>
    <cellStyle name="Input 74" xfId="406" xr:uid="{00000000-0005-0000-0000-0000CD010000}"/>
    <cellStyle name="Input 75" xfId="407" xr:uid="{00000000-0005-0000-0000-0000CE010000}"/>
    <cellStyle name="Input 76" xfId="408" xr:uid="{00000000-0005-0000-0000-0000CF010000}"/>
    <cellStyle name="Input 77" xfId="409" xr:uid="{00000000-0005-0000-0000-0000D0010000}"/>
    <cellStyle name="Input 78" xfId="410" xr:uid="{00000000-0005-0000-0000-0000D1010000}"/>
    <cellStyle name="Input 79" xfId="411" xr:uid="{00000000-0005-0000-0000-0000D2010000}"/>
    <cellStyle name="Input 8" xfId="412" xr:uid="{00000000-0005-0000-0000-0000D3010000}"/>
    <cellStyle name="Input 80" xfId="413" xr:uid="{00000000-0005-0000-0000-0000D4010000}"/>
    <cellStyle name="Input 81" xfId="414" xr:uid="{00000000-0005-0000-0000-0000D5010000}"/>
    <cellStyle name="Input 82" xfId="415" xr:uid="{00000000-0005-0000-0000-0000D6010000}"/>
    <cellStyle name="Input 83" xfId="416" xr:uid="{00000000-0005-0000-0000-0000D7010000}"/>
    <cellStyle name="Input 84" xfId="417" xr:uid="{00000000-0005-0000-0000-0000D8010000}"/>
    <cellStyle name="Input 85" xfId="418" xr:uid="{00000000-0005-0000-0000-0000D9010000}"/>
    <cellStyle name="Input 86" xfId="419" xr:uid="{00000000-0005-0000-0000-0000DA010000}"/>
    <cellStyle name="Input 87" xfId="420" xr:uid="{00000000-0005-0000-0000-0000DB010000}"/>
    <cellStyle name="Input 88" xfId="421" xr:uid="{00000000-0005-0000-0000-0000DC010000}"/>
    <cellStyle name="Input 89" xfId="422" xr:uid="{00000000-0005-0000-0000-0000DD010000}"/>
    <cellStyle name="Input 9" xfId="423" xr:uid="{00000000-0005-0000-0000-0000DE010000}"/>
    <cellStyle name="Input 90" xfId="424" xr:uid="{00000000-0005-0000-0000-0000DF010000}"/>
    <cellStyle name="Input 91" xfId="425" xr:uid="{00000000-0005-0000-0000-0000E0010000}"/>
    <cellStyle name="Input 92" xfId="426" xr:uid="{00000000-0005-0000-0000-0000E1010000}"/>
    <cellStyle name="Input 93" xfId="427" xr:uid="{00000000-0005-0000-0000-0000E2010000}"/>
    <cellStyle name="Input 94" xfId="428" xr:uid="{00000000-0005-0000-0000-0000E3010000}"/>
    <cellStyle name="Input 95" xfId="429" xr:uid="{00000000-0005-0000-0000-0000E4010000}"/>
    <cellStyle name="Input 96" xfId="430" xr:uid="{00000000-0005-0000-0000-0000E5010000}"/>
    <cellStyle name="Input 97" xfId="431" xr:uid="{00000000-0005-0000-0000-0000E6010000}"/>
    <cellStyle name="Input 98" xfId="432" xr:uid="{00000000-0005-0000-0000-0000E7010000}"/>
    <cellStyle name="Input 99" xfId="433" xr:uid="{00000000-0005-0000-0000-0000E8010000}"/>
    <cellStyle name="Input Year" xfId="434" xr:uid="{00000000-0005-0000-0000-0000E9010000}"/>
    <cellStyle name="Integer" xfId="1119" xr:uid="{00000000-0005-0000-0000-0000EA010000}"/>
    <cellStyle name="Linked Cell 2" xfId="435" xr:uid="{00000000-0005-0000-0000-0000EB010000}"/>
    <cellStyle name="Linked Cell 2 2" xfId="1120" xr:uid="{00000000-0005-0000-0000-0000EC010000}"/>
    <cellStyle name="Linked Cell 3" xfId="436" xr:uid="{00000000-0005-0000-0000-0000ED010000}"/>
    <cellStyle name="Linked Data" xfId="437" xr:uid="{00000000-0005-0000-0000-0000EE010000}"/>
    <cellStyle name="Linked Data 2" xfId="438" xr:uid="{00000000-0005-0000-0000-0000EF010000}"/>
    <cellStyle name="Linked Data 3" xfId="1229" xr:uid="{00000000-0005-0000-0000-0000F0010000}"/>
    <cellStyle name="Linked Data 4" xfId="439" xr:uid="{00000000-0005-0000-0000-0000F1010000}"/>
    <cellStyle name="Model Formula Ref Another Tab" xfId="11" xr:uid="{00000000-0005-0000-0000-0000F2010000}"/>
    <cellStyle name="Model Formula Ref Another Tab 2" xfId="440" xr:uid="{00000000-0005-0000-0000-0000F3010000}"/>
    <cellStyle name="Model Formula Ref Only Within Tab" xfId="441" xr:uid="{00000000-0005-0000-0000-0000F4010000}"/>
    <cellStyle name="Model Formula Ref Only Within Tab 2" xfId="442" xr:uid="{00000000-0005-0000-0000-0000F5010000}"/>
    <cellStyle name="Model Heading" xfId="9" xr:uid="{00000000-0005-0000-0000-0000F6010000}"/>
    <cellStyle name="Model Input" xfId="443" xr:uid="{00000000-0005-0000-0000-0000F7010000}"/>
    <cellStyle name="Model List" xfId="444" xr:uid="{00000000-0005-0000-0000-0000F8010000}"/>
    <cellStyle name="Model Sub Heading" xfId="10" xr:uid="{00000000-0005-0000-0000-0000F9010000}"/>
    <cellStyle name="Model Sub Heading 2" xfId="445" xr:uid="{00000000-0005-0000-0000-0000FA010000}"/>
    <cellStyle name="modified border" xfId="446" xr:uid="{00000000-0005-0000-0000-0000FB010000}"/>
    <cellStyle name="modified border1" xfId="447" xr:uid="{00000000-0005-0000-0000-0000FC010000}"/>
    <cellStyle name="Net Number" xfId="448" xr:uid="{00000000-0005-0000-0000-0000FD010000}"/>
    <cellStyle name="Net Number 2" xfId="449" xr:uid="{00000000-0005-0000-0000-0000FE010000}"/>
    <cellStyle name="Net Number 3" xfId="450" xr:uid="{00000000-0005-0000-0000-0000FF010000}"/>
    <cellStyle name="Net Number 4" xfId="451" xr:uid="{00000000-0005-0000-0000-000000020000}"/>
    <cellStyle name="Net Number 5" xfId="1230" xr:uid="{00000000-0005-0000-0000-000001020000}"/>
    <cellStyle name="Neutral 2" xfId="452" xr:uid="{00000000-0005-0000-0000-000002020000}"/>
    <cellStyle name="Neutral 2 2" xfId="1121" xr:uid="{00000000-0005-0000-0000-000003020000}"/>
    <cellStyle name="Neutral 3" xfId="453" xr:uid="{00000000-0005-0000-0000-000004020000}"/>
    <cellStyle name="Normal" xfId="0" builtinId="0"/>
    <cellStyle name="Normal - Style1" xfId="454" xr:uid="{00000000-0005-0000-0000-000006020000}"/>
    <cellStyle name="Normal (no decimal)" xfId="1122" xr:uid="{00000000-0005-0000-0000-000007020000}"/>
    <cellStyle name="Normal 10" xfId="455" xr:uid="{00000000-0005-0000-0000-000008020000}"/>
    <cellStyle name="Normal 10 2" xfId="456" xr:uid="{00000000-0005-0000-0000-000009020000}"/>
    <cellStyle name="Normal 10 3" xfId="1066" xr:uid="{00000000-0005-0000-0000-00000A020000}"/>
    <cellStyle name="Normal 10 3 2" xfId="1070" xr:uid="{00000000-0005-0000-0000-00000B020000}"/>
    <cellStyle name="Normal 10 4" xfId="1123" xr:uid="{00000000-0005-0000-0000-00000C020000}"/>
    <cellStyle name="Normal 10 5" xfId="1231" xr:uid="{00000000-0005-0000-0000-00000D020000}"/>
    <cellStyle name="Normal 100" xfId="457" xr:uid="{00000000-0005-0000-0000-00000E020000}"/>
    <cellStyle name="Normal 101" xfId="458" xr:uid="{00000000-0005-0000-0000-00000F020000}"/>
    <cellStyle name="Normal 102" xfId="459" xr:uid="{00000000-0005-0000-0000-000010020000}"/>
    <cellStyle name="Normal 103" xfId="460" xr:uid="{00000000-0005-0000-0000-000011020000}"/>
    <cellStyle name="Normal 104" xfId="461" xr:uid="{00000000-0005-0000-0000-000012020000}"/>
    <cellStyle name="Normal 105" xfId="462" xr:uid="{00000000-0005-0000-0000-000013020000}"/>
    <cellStyle name="Normal 106" xfId="463" xr:uid="{00000000-0005-0000-0000-000014020000}"/>
    <cellStyle name="Normal 107" xfId="464" xr:uid="{00000000-0005-0000-0000-000015020000}"/>
    <cellStyle name="Normal 108" xfId="465" xr:uid="{00000000-0005-0000-0000-000016020000}"/>
    <cellStyle name="Normal 109" xfId="466" xr:uid="{00000000-0005-0000-0000-000017020000}"/>
    <cellStyle name="Normal 11" xfId="467" xr:uid="{00000000-0005-0000-0000-000018020000}"/>
    <cellStyle name="Normal 11 2" xfId="468" xr:uid="{00000000-0005-0000-0000-000019020000}"/>
    <cellStyle name="Normal 11 3" xfId="1124" xr:uid="{00000000-0005-0000-0000-00001A020000}"/>
    <cellStyle name="Normal 110" xfId="469" xr:uid="{00000000-0005-0000-0000-00001B020000}"/>
    <cellStyle name="Normal 111" xfId="470" xr:uid="{00000000-0005-0000-0000-00001C020000}"/>
    <cellStyle name="Normal 112" xfId="471" xr:uid="{00000000-0005-0000-0000-00001D020000}"/>
    <cellStyle name="Normal 113" xfId="472" xr:uid="{00000000-0005-0000-0000-00001E020000}"/>
    <cellStyle name="Normal 114" xfId="473" xr:uid="{00000000-0005-0000-0000-00001F020000}"/>
    <cellStyle name="Normal 115" xfId="474" xr:uid="{00000000-0005-0000-0000-000020020000}"/>
    <cellStyle name="Normal 116" xfId="475" xr:uid="{00000000-0005-0000-0000-000021020000}"/>
    <cellStyle name="Normal 117" xfId="476" xr:uid="{00000000-0005-0000-0000-000022020000}"/>
    <cellStyle name="Normal 118" xfId="477" xr:uid="{00000000-0005-0000-0000-000023020000}"/>
    <cellStyle name="Normal 119" xfId="478" xr:uid="{00000000-0005-0000-0000-000024020000}"/>
    <cellStyle name="Normal 12" xfId="479" xr:uid="{00000000-0005-0000-0000-000025020000}"/>
    <cellStyle name="Normal 12 2" xfId="480" xr:uid="{00000000-0005-0000-0000-000026020000}"/>
    <cellStyle name="Normal 12 3" xfId="1125" xr:uid="{00000000-0005-0000-0000-000027020000}"/>
    <cellStyle name="Normal 120" xfId="481" xr:uid="{00000000-0005-0000-0000-000028020000}"/>
    <cellStyle name="Normal 121" xfId="482" xr:uid="{00000000-0005-0000-0000-000029020000}"/>
    <cellStyle name="Normal 122" xfId="483" xr:uid="{00000000-0005-0000-0000-00002A020000}"/>
    <cellStyle name="Normal 123" xfId="484" xr:uid="{00000000-0005-0000-0000-00002B020000}"/>
    <cellStyle name="Normal 124" xfId="485" xr:uid="{00000000-0005-0000-0000-00002C020000}"/>
    <cellStyle name="Normal 125" xfId="486" xr:uid="{00000000-0005-0000-0000-00002D020000}"/>
    <cellStyle name="Normal 126" xfId="487" xr:uid="{00000000-0005-0000-0000-00002E020000}"/>
    <cellStyle name="Normal 127" xfId="488" xr:uid="{00000000-0005-0000-0000-00002F020000}"/>
    <cellStyle name="Normal 128" xfId="489" xr:uid="{00000000-0005-0000-0000-000030020000}"/>
    <cellStyle name="Normal 129" xfId="490" xr:uid="{00000000-0005-0000-0000-000031020000}"/>
    <cellStyle name="Normal 13" xfId="491" xr:uid="{00000000-0005-0000-0000-000032020000}"/>
    <cellStyle name="Normal 13 2" xfId="492" xr:uid="{00000000-0005-0000-0000-000033020000}"/>
    <cellStyle name="Normal 13 3" xfId="1126" xr:uid="{00000000-0005-0000-0000-000034020000}"/>
    <cellStyle name="Normal 130" xfId="493" xr:uid="{00000000-0005-0000-0000-000035020000}"/>
    <cellStyle name="Normal 131" xfId="494" xr:uid="{00000000-0005-0000-0000-000036020000}"/>
    <cellStyle name="Normal 132" xfId="495" xr:uid="{00000000-0005-0000-0000-000037020000}"/>
    <cellStyle name="Normal 133" xfId="496" xr:uid="{00000000-0005-0000-0000-000038020000}"/>
    <cellStyle name="Normal 134" xfId="497" xr:uid="{00000000-0005-0000-0000-000039020000}"/>
    <cellStyle name="Normal 135" xfId="498" xr:uid="{00000000-0005-0000-0000-00003A020000}"/>
    <cellStyle name="Normal 136" xfId="499" xr:uid="{00000000-0005-0000-0000-00003B020000}"/>
    <cellStyle name="Normal 137" xfId="500" xr:uid="{00000000-0005-0000-0000-00003C020000}"/>
    <cellStyle name="Normal 138" xfId="501" xr:uid="{00000000-0005-0000-0000-00003D020000}"/>
    <cellStyle name="Normal 139" xfId="502" xr:uid="{00000000-0005-0000-0000-00003E020000}"/>
    <cellStyle name="Normal 14" xfId="503" xr:uid="{00000000-0005-0000-0000-00003F020000}"/>
    <cellStyle name="Normal 14 2" xfId="504" xr:uid="{00000000-0005-0000-0000-000040020000}"/>
    <cellStyle name="Normal 14 3" xfId="1127" xr:uid="{00000000-0005-0000-0000-000041020000}"/>
    <cellStyle name="Normal 140" xfId="505" xr:uid="{00000000-0005-0000-0000-000042020000}"/>
    <cellStyle name="Normal 141" xfId="506" xr:uid="{00000000-0005-0000-0000-000043020000}"/>
    <cellStyle name="Normal 142" xfId="507" xr:uid="{00000000-0005-0000-0000-000044020000}"/>
    <cellStyle name="Normal 143" xfId="508" xr:uid="{00000000-0005-0000-0000-000045020000}"/>
    <cellStyle name="Normal 144" xfId="509" xr:uid="{00000000-0005-0000-0000-000046020000}"/>
    <cellStyle name="Normal 145" xfId="510" xr:uid="{00000000-0005-0000-0000-000047020000}"/>
    <cellStyle name="Normal 146" xfId="511" xr:uid="{00000000-0005-0000-0000-000048020000}"/>
    <cellStyle name="Normal 147" xfId="512" xr:uid="{00000000-0005-0000-0000-000049020000}"/>
    <cellStyle name="Normal 148" xfId="513" xr:uid="{00000000-0005-0000-0000-00004A020000}"/>
    <cellStyle name="Normal 149" xfId="514" xr:uid="{00000000-0005-0000-0000-00004B020000}"/>
    <cellStyle name="Normal 15" xfId="515" xr:uid="{00000000-0005-0000-0000-00004C020000}"/>
    <cellStyle name="Normal 15 2" xfId="1128" xr:uid="{00000000-0005-0000-0000-00004D020000}"/>
    <cellStyle name="Normal 150" xfId="516" xr:uid="{00000000-0005-0000-0000-00004E020000}"/>
    <cellStyle name="Normal 151" xfId="517" xr:uid="{00000000-0005-0000-0000-00004F020000}"/>
    <cellStyle name="Normal 152" xfId="518" xr:uid="{00000000-0005-0000-0000-000050020000}"/>
    <cellStyle name="Normal 153" xfId="519" xr:uid="{00000000-0005-0000-0000-000051020000}"/>
    <cellStyle name="Normal 154" xfId="520" xr:uid="{00000000-0005-0000-0000-000052020000}"/>
    <cellStyle name="Normal 155" xfId="521" xr:uid="{00000000-0005-0000-0000-000053020000}"/>
    <cellStyle name="Normal 156" xfId="522" xr:uid="{00000000-0005-0000-0000-000054020000}"/>
    <cellStyle name="Normal 157" xfId="523" xr:uid="{00000000-0005-0000-0000-000055020000}"/>
    <cellStyle name="Normal 158" xfId="524" xr:uid="{00000000-0005-0000-0000-000056020000}"/>
    <cellStyle name="Normal 159" xfId="525" xr:uid="{00000000-0005-0000-0000-000057020000}"/>
    <cellStyle name="Normal 16" xfId="526" xr:uid="{00000000-0005-0000-0000-000058020000}"/>
    <cellStyle name="Normal 16 2" xfId="527" xr:uid="{00000000-0005-0000-0000-000059020000}"/>
    <cellStyle name="Normal 16 3" xfId="1129" xr:uid="{00000000-0005-0000-0000-00005A020000}"/>
    <cellStyle name="Normal 160" xfId="528" xr:uid="{00000000-0005-0000-0000-00005B020000}"/>
    <cellStyle name="Normal 161" xfId="529" xr:uid="{00000000-0005-0000-0000-00005C020000}"/>
    <cellStyle name="Normal 162" xfId="530" xr:uid="{00000000-0005-0000-0000-00005D020000}"/>
    <cellStyle name="Normal 163" xfId="531" xr:uid="{00000000-0005-0000-0000-00005E020000}"/>
    <cellStyle name="Normal 164" xfId="532" xr:uid="{00000000-0005-0000-0000-00005F020000}"/>
    <cellStyle name="Normal 165" xfId="533" xr:uid="{00000000-0005-0000-0000-000060020000}"/>
    <cellStyle name="Normal 166" xfId="534" xr:uid="{00000000-0005-0000-0000-000061020000}"/>
    <cellStyle name="Normal 167" xfId="535" xr:uid="{00000000-0005-0000-0000-000062020000}"/>
    <cellStyle name="Normal 168" xfId="536" xr:uid="{00000000-0005-0000-0000-000063020000}"/>
    <cellStyle name="Normal 169" xfId="537" xr:uid="{00000000-0005-0000-0000-000064020000}"/>
    <cellStyle name="Normal 17" xfId="538" xr:uid="{00000000-0005-0000-0000-000065020000}"/>
    <cellStyle name="Normal 17 2" xfId="539" xr:uid="{00000000-0005-0000-0000-000066020000}"/>
    <cellStyle name="Normal 17 3" xfId="1130" xr:uid="{00000000-0005-0000-0000-000067020000}"/>
    <cellStyle name="Normal 170" xfId="540" xr:uid="{00000000-0005-0000-0000-000068020000}"/>
    <cellStyle name="Normal 171" xfId="541" xr:uid="{00000000-0005-0000-0000-000069020000}"/>
    <cellStyle name="Normal 172" xfId="542" xr:uid="{00000000-0005-0000-0000-00006A020000}"/>
    <cellStyle name="Normal 173" xfId="543" xr:uid="{00000000-0005-0000-0000-00006B020000}"/>
    <cellStyle name="Normal 174" xfId="544" xr:uid="{00000000-0005-0000-0000-00006C020000}"/>
    <cellStyle name="Normal 175" xfId="545" xr:uid="{00000000-0005-0000-0000-00006D020000}"/>
    <cellStyle name="Normal 176" xfId="546" xr:uid="{00000000-0005-0000-0000-00006E020000}"/>
    <cellStyle name="Normal 177" xfId="547" xr:uid="{00000000-0005-0000-0000-00006F020000}"/>
    <cellStyle name="Normal 178" xfId="548" xr:uid="{00000000-0005-0000-0000-000070020000}"/>
    <cellStyle name="Normal 179" xfId="549" xr:uid="{00000000-0005-0000-0000-000071020000}"/>
    <cellStyle name="Normal 18" xfId="550" xr:uid="{00000000-0005-0000-0000-000072020000}"/>
    <cellStyle name="Normal 18 2" xfId="551" xr:uid="{00000000-0005-0000-0000-000073020000}"/>
    <cellStyle name="Normal 18 3" xfId="1151" xr:uid="{00000000-0005-0000-0000-000074020000}"/>
    <cellStyle name="Normal 180" xfId="552" xr:uid="{00000000-0005-0000-0000-000075020000}"/>
    <cellStyle name="Normal 181" xfId="553" xr:uid="{00000000-0005-0000-0000-000076020000}"/>
    <cellStyle name="Normal 182" xfId="554" xr:uid="{00000000-0005-0000-0000-000077020000}"/>
    <cellStyle name="Normal 183" xfId="555" xr:uid="{00000000-0005-0000-0000-000078020000}"/>
    <cellStyle name="Normal 184" xfId="556" xr:uid="{00000000-0005-0000-0000-000079020000}"/>
    <cellStyle name="Normal 185" xfId="557" xr:uid="{00000000-0005-0000-0000-00007A020000}"/>
    <cellStyle name="Normal 186" xfId="558" xr:uid="{00000000-0005-0000-0000-00007B020000}"/>
    <cellStyle name="Normal 187" xfId="559" xr:uid="{00000000-0005-0000-0000-00007C020000}"/>
    <cellStyle name="Normal 188" xfId="560" xr:uid="{00000000-0005-0000-0000-00007D020000}"/>
    <cellStyle name="Normal 189" xfId="561" xr:uid="{00000000-0005-0000-0000-00007E020000}"/>
    <cellStyle name="Normal 19" xfId="562" xr:uid="{00000000-0005-0000-0000-00007F020000}"/>
    <cellStyle name="Normal 19 2" xfId="563" xr:uid="{00000000-0005-0000-0000-000080020000}"/>
    <cellStyle name="Normal 19 3" xfId="1159" xr:uid="{00000000-0005-0000-0000-000081020000}"/>
    <cellStyle name="Normal 190" xfId="564" xr:uid="{00000000-0005-0000-0000-000082020000}"/>
    <cellStyle name="Normal 191" xfId="565" xr:uid="{00000000-0005-0000-0000-000083020000}"/>
    <cellStyle name="Normal 192" xfId="566" xr:uid="{00000000-0005-0000-0000-000084020000}"/>
    <cellStyle name="Normal 193" xfId="567" xr:uid="{00000000-0005-0000-0000-000085020000}"/>
    <cellStyle name="Normal 194" xfId="568" xr:uid="{00000000-0005-0000-0000-000086020000}"/>
    <cellStyle name="Normal 195" xfId="569" xr:uid="{00000000-0005-0000-0000-000087020000}"/>
    <cellStyle name="Normal 196" xfId="570" xr:uid="{00000000-0005-0000-0000-000088020000}"/>
    <cellStyle name="Normal 197" xfId="571" xr:uid="{00000000-0005-0000-0000-000089020000}"/>
    <cellStyle name="Normal 198" xfId="572" xr:uid="{00000000-0005-0000-0000-00008A020000}"/>
    <cellStyle name="Normal 199" xfId="573" xr:uid="{00000000-0005-0000-0000-00008B020000}"/>
    <cellStyle name="Normal 2" xfId="3" xr:uid="{00000000-0005-0000-0000-00008C020000}"/>
    <cellStyle name="Normal 2 10" xfId="8" xr:uid="{00000000-0005-0000-0000-00008D020000}"/>
    <cellStyle name="Normal 2 2" xfId="574" xr:uid="{00000000-0005-0000-0000-00008E020000}"/>
    <cellStyle name="Normal 2 2 2" xfId="1155" xr:uid="{00000000-0005-0000-0000-00008F020000}"/>
    <cellStyle name="Normal 2 2 3" xfId="1245" xr:uid="{00000000-0005-0000-0000-000090020000}"/>
    <cellStyle name="Normal 2 3" xfId="575" xr:uid="{00000000-0005-0000-0000-000091020000}"/>
    <cellStyle name="Normal 2 3 2" xfId="576" xr:uid="{00000000-0005-0000-0000-000092020000}"/>
    <cellStyle name="Normal 2 3 3" xfId="1220" xr:uid="{00000000-0005-0000-0000-000093020000}"/>
    <cellStyle name="Normal 2 4" xfId="577" xr:uid="{00000000-0005-0000-0000-000094020000}"/>
    <cellStyle name="Normal 2 5" xfId="578" xr:uid="{00000000-0005-0000-0000-000095020000}"/>
    <cellStyle name="Normal 2 6" xfId="579" xr:uid="{00000000-0005-0000-0000-000096020000}"/>
    <cellStyle name="Normal 2 7" xfId="580" xr:uid="{00000000-0005-0000-0000-000097020000}"/>
    <cellStyle name="Normal 2 8" xfId="1077" xr:uid="{00000000-0005-0000-0000-000098020000}"/>
    <cellStyle name="Normal 2 9" xfId="1239" xr:uid="{00000000-0005-0000-0000-000099020000}"/>
    <cellStyle name="Normal 2_Cover Sheet" xfId="1221" xr:uid="{00000000-0005-0000-0000-00009A020000}"/>
    <cellStyle name="Normal 20" xfId="581" xr:uid="{00000000-0005-0000-0000-00009B020000}"/>
    <cellStyle name="Normal 20 2" xfId="582" xr:uid="{00000000-0005-0000-0000-00009C020000}"/>
    <cellStyle name="Normal 20 3" xfId="1152" xr:uid="{00000000-0005-0000-0000-00009D020000}"/>
    <cellStyle name="Normal 200" xfId="583" xr:uid="{00000000-0005-0000-0000-00009E020000}"/>
    <cellStyle name="Normal 201" xfId="584" xr:uid="{00000000-0005-0000-0000-00009F020000}"/>
    <cellStyle name="Normal 202" xfId="585" xr:uid="{00000000-0005-0000-0000-0000A0020000}"/>
    <cellStyle name="Normal 203" xfId="586" xr:uid="{00000000-0005-0000-0000-0000A1020000}"/>
    <cellStyle name="Normal 204" xfId="587" xr:uid="{00000000-0005-0000-0000-0000A2020000}"/>
    <cellStyle name="Normal 205" xfId="588" xr:uid="{00000000-0005-0000-0000-0000A3020000}"/>
    <cellStyle name="Normal 206" xfId="589" xr:uid="{00000000-0005-0000-0000-0000A4020000}"/>
    <cellStyle name="Normal 207" xfId="590" xr:uid="{00000000-0005-0000-0000-0000A5020000}"/>
    <cellStyle name="Normal 208" xfId="591" xr:uid="{00000000-0005-0000-0000-0000A6020000}"/>
    <cellStyle name="Normal 209" xfId="592" xr:uid="{00000000-0005-0000-0000-0000A7020000}"/>
    <cellStyle name="Normal 21" xfId="593" xr:uid="{00000000-0005-0000-0000-0000A8020000}"/>
    <cellStyle name="Normal 21 2" xfId="594" xr:uid="{00000000-0005-0000-0000-0000A9020000}"/>
    <cellStyle name="Normal 21 3" xfId="1160" xr:uid="{00000000-0005-0000-0000-0000AA020000}"/>
    <cellStyle name="Normal 210" xfId="595" xr:uid="{00000000-0005-0000-0000-0000AB020000}"/>
    <cellStyle name="Normal 211" xfId="596" xr:uid="{00000000-0005-0000-0000-0000AC020000}"/>
    <cellStyle name="Normal 212" xfId="597" xr:uid="{00000000-0005-0000-0000-0000AD020000}"/>
    <cellStyle name="Normal 213" xfId="598" xr:uid="{00000000-0005-0000-0000-0000AE020000}"/>
    <cellStyle name="Normal 214" xfId="599" xr:uid="{00000000-0005-0000-0000-0000AF020000}"/>
    <cellStyle name="Normal 215" xfId="600" xr:uid="{00000000-0005-0000-0000-0000B0020000}"/>
    <cellStyle name="Normal 216" xfId="601" xr:uid="{00000000-0005-0000-0000-0000B1020000}"/>
    <cellStyle name="Normal 217" xfId="602" xr:uid="{00000000-0005-0000-0000-0000B2020000}"/>
    <cellStyle name="Normal 218" xfId="603" xr:uid="{00000000-0005-0000-0000-0000B3020000}"/>
    <cellStyle name="Normal 219" xfId="604" xr:uid="{00000000-0005-0000-0000-0000B4020000}"/>
    <cellStyle name="Normal 22" xfId="605" xr:uid="{00000000-0005-0000-0000-0000B5020000}"/>
    <cellStyle name="Normal 22 2" xfId="606" xr:uid="{00000000-0005-0000-0000-0000B6020000}"/>
    <cellStyle name="Normal 22 3" xfId="1161" xr:uid="{00000000-0005-0000-0000-0000B7020000}"/>
    <cellStyle name="Normal 220" xfId="607" xr:uid="{00000000-0005-0000-0000-0000B8020000}"/>
    <cellStyle name="Normal 221" xfId="608" xr:uid="{00000000-0005-0000-0000-0000B9020000}"/>
    <cellStyle name="Normal 222" xfId="609" xr:uid="{00000000-0005-0000-0000-0000BA020000}"/>
    <cellStyle name="Normal 223" xfId="610" xr:uid="{00000000-0005-0000-0000-0000BB020000}"/>
    <cellStyle name="Normal 224" xfId="611" xr:uid="{00000000-0005-0000-0000-0000BC020000}"/>
    <cellStyle name="Normal 225" xfId="612" xr:uid="{00000000-0005-0000-0000-0000BD020000}"/>
    <cellStyle name="Normal 226" xfId="613" xr:uid="{00000000-0005-0000-0000-0000BE020000}"/>
    <cellStyle name="Normal 227" xfId="614" xr:uid="{00000000-0005-0000-0000-0000BF020000}"/>
    <cellStyle name="Normal 228" xfId="615" xr:uid="{00000000-0005-0000-0000-0000C0020000}"/>
    <cellStyle name="Normal 229" xfId="616" xr:uid="{00000000-0005-0000-0000-0000C1020000}"/>
    <cellStyle name="Normal 23" xfId="617" xr:uid="{00000000-0005-0000-0000-0000C2020000}"/>
    <cellStyle name="Normal 23 2" xfId="618" xr:uid="{00000000-0005-0000-0000-0000C3020000}"/>
    <cellStyle name="Normal 23 3" xfId="1162" xr:uid="{00000000-0005-0000-0000-0000C4020000}"/>
    <cellStyle name="Normal 230" xfId="619" xr:uid="{00000000-0005-0000-0000-0000C5020000}"/>
    <cellStyle name="Normal 231" xfId="620" xr:uid="{00000000-0005-0000-0000-0000C6020000}"/>
    <cellStyle name="Normal 232" xfId="621" xr:uid="{00000000-0005-0000-0000-0000C7020000}"/>
    <cellStyle name="Normal 233" xfId="622" xr:uid="{00000000-0005-0000-0000-0000C8020000}"/>
    <cellStyle name="Normal 234" xfId="623" xr:uid="{00000000-0005-0000-0000-0000C9020000}"/>
    <cellStyle name="Normal 235" xfId="624" xr:uid="{00000000-0005-0000-0000-0000CA020000}"/>
    <cellStyle name="Normal 236" xfId="625" xr:uid="{00000000-0005-0000-0000-0000CB020000}"/>
    <cellStyle name="Normal 237" xfId="626" xr:uid="{00000000-0005-0000-0000-0000CC020000}"/>
    <cellStyle name="Normal 238" xfId="627" xr:uid="{00000000-0005-0000-0000-0000CD020000}"/>
    <cellStyle name="Normal 239" xfId="628" xr:uid="{00000000-0005-0000-0000-0000CE020000}"/>
    <cellStyle name="Normal 24" xfId="629" xr:uid="{00000000-0005-0000-0000-0000CF020000}"/>
    <cellStyle name="Normal 24 2" xfId="630" xr:uid="{00000000-0005-0000-0000-0000D0020000}"/>
    <cellStyle name="Normal 24 3" xfId="1163" xr:uid="{00000000-0005-0000-0000-0000D1020000}"/>
    <cellStyle name="Normal 240" xfId="631" xr:uid="{00000000-0005-0000-0000-0000D2020000}"/>
    <cellStyle name="Normal 241" xfId="632" xr:uid="{00000000-0005-0000-0000-0000D3020000}"/>
    <cellStyle name="Normal 242" xfId="633" xr:uid="{00000000-0005-0000-0000-0000D4020000}"/>
    <cellStyle name="Normal 243" xfId="634" xr:uid="{00000000-0005-0000-0000-0000D5020000}"/>
    <cellStyle name="Normal 244" xfId="635" xr:uid="{00000000-0005-0000-0000-0000D6020000}"/>
    <cellStyle name="Normal 245" xfId="636" xr:uid="{00000000-0005-0000-0000-0000D7020000}"/>
    <cellStyle name="Normal 246" xfId="637" xr:uid="{00000000-0005-0000-0000-0000D8020000}"/>
    <cellStyle name="Normal 247" xfId="638" xr:uid="{00000000-0005-0000-0000-0000D9020000}"/>
    <cellStyle name="Normal 248" xfId="639" xr:uid="{00000000-0005-0000-0000-0000DA020000}"/>
    <cellStyle name="Normal 249" xfId="640" xr:uid="{00000000-0005-0000-0000-0000DB020000}"/>
    <cellStyle name="Normal 25" xfId="641" xr:uid="{00000000-0005-0000-0000-0000DC020000}"/>
    <cellStyle name="Normal 25 2" xfId="642" xr:uid="{00000000-0005-0000-0000-0000DD020000}"/>
    <cellStyle name="Normal 25 3" xfId="1164" xr:uid="{00000000-0005-0000-0000-0000DE020000}"/>
    <cellStyle name="Normal 250" xfId="643" xr:uid="{00000000-0005-0000-0000-0000DF020000}"/>
    <cellStyle name="Normal 251" xfId="644" xr:uid="{00000000-0005-0000-0000-0000E0020000}"/>
    <cellStyle name="Normal 252" xfId="645" xr:uid="{00000000-0005-0000-0000-0000E1020000}"/>
    <cellStyle name="Normal 253" xfId="646" xr:uid="{00000000-0005-0000-0000-0000E2020000}"/>
    <cellStyle name="Normal 254" xfId="647" xr:uid="{00000000-0005-0000-0000-0000E3020000}"/>
    <cellStyle name="Normal 255" xfId="648" xr:uid="{00000000-0005-0000-0000-0000E4020000}"/>
    <cellStyle name="Normal 256" xfId="649" xr:uid="{00000000-0005-0000-0000-0000E5020000}"/>
    <cellStyle name="Normal 257" xfId="650" xr:uid="{00000000-0005-0000-0000-0000E6020000}"/>
    <cellStyle name="Normal 258" xfId="651" xr:uid="{00000000-0005-0000-0000-0000E7020000}"/>
    <cellStyle name="Normal 259" xfId="652" xr:uid="{00000000-0005-0000-0000-0000E8020000}"/>
    <cellStyle name="Normal 26" xfId="653" xr:uid="{00000000-0005-0000-0000-0000E9020000}"/>
    <cellStyle name="Normal 26 2" xfId="654" xr:uid="{00000000-0005-0000-0000-0000EA020000}"/>
    <cellStyle name="Normal 260" xfId="655" xr:uid="{00000000-0005-0000-0000-0000EB020000}"/>
    <cellStyle name="Normal 261" xfId="656" xr:uid="{00000000-0005-0000-0000-0000EC020000}"/>
    <cellStyle name="Normal 262" xfId="657" xr:uid="{00000000-0005-0000-0000-0000ED020000}"/>
    <cellStyle name="Normal 263" xfId="658" xr:uid="{00000000-0005-0000-0000-0000EE020000}"/>
    <cellStyle name="Normal 264" xfId="659" xr:uid="{00000000-0005-0000-0000-0000EF020000}"/>
    <cellStyle name="Normal 265" xfId="660" xr:uid="{00000000-0005-0000-0000-0000F0020000}"/>
    <cellStyle name="Normal 266" xfId="661" xr:uid="{00000000-0005-0000-0000-0000F1020000}"/>
    <cellStyle name="Normal 267" xfId="662" xr:uid="{00000000-0005-0000-0000-0000F2020000}"/>
    <cellStyle name="Normal 268" xfId="663" xr:uid="{00000000-0005-0000-0000-0000F3020000}"/>
    <cellStyle name="Normal 269" xfId="664" xr:uid="{00000000-0005-0000-0000-0000F4020000}"/>
    <cellStyle name="Normal 27" xfId="665" xr:uid="{00000000-0005-0000-0000-0000F5020000}"/>
    <cellStyle name="Normal 27 2" xfId="666" xr:uid="{00000000-0005-0000-0000-0000F6020000}"/>
    <cellStyle name="Normal 270" xfId="667" xr:uid="{00000000-0005-0000-0000-0000F7020000}"/>
    <cellStyle name="Normal 271" xfId="668" xr:uid="{00000000-0005-0000-0000-0000F8020000}"/>
    <cellStyle name="Normal 272" xfId="669" xr:uid="{00000000-0005-0000-0000-0000F9020000}"/>
    <cellStyle name="Normal 273" xfId="670" xr:uid="{00000000-0005-0000-0000-0000FA020000}"/>
    <cellStyle name="Normal 274" xfId="671" xr:uid="{00000000-0005-0000-0000-0000FB020000}"/>
    <cellStyle name="Normal 275" xfId="672" xr:uid="{00000000-0005-0000-0000-0000FC020000}"/>
    <cellStyle name="Normal 276" xfId="673" xr:uid="{00000000-0005-0000-0000-0000FD020000}"/>
    <cellStyle name="Normal 277" xfId="674" xr:uid="{00000000-0005-0000-0000-0000FE020000}"/>
    <cellStyle name="Normal 278" xfId="675" xr:uid="{00000000-0005-0000-0000-0000FF020000}"/>
    <cellStyle name="Normal 279" xfId="676" xr:uid="{00000000-0005-0000-0000-000000030000}"/>
    <cellStyle name="Normal 28" xfId="677" xr:uid="{00000000-0005-0000-0000-000001030000}"/>
    <cellStyle name="Normal 28 2" xfId="678" xr:uid="{00000000-0005-0000-0000-000002030000}"/>
    <cellStyle name="Normal 280" xfId="679" xr:uid="{00000000-0005-0000-0000-000003030000}"/>
    <cellStyle name="Normal 281" xfId="680" xr:uid="{00000000-0005-0000-0000-000004030000}"/>
    <cellStyle name="Normal 282" xfId="681" xr:uid="{00000000-0005-0000-0000-000005030000}"/>
    <cellStyle name="Normal 283" xfId="682" xr:uid="{00000000-0005-0000-0000-000006030000}"/>
    <cellStyle name="Normal 284" xfId="683" xr:uid="{00000000-0005-0000-0000-000007030000}"/>
    <cellStyle name="Normal 285" xfId="684" xr:uid="{00000000-0005-0000-0000-000008030000}"/>
    <cellStyle name="Normal 286" xfId="685" xr:uid="{00000000-0005-0000-0000-000009030000}"/>
    <cellStyle name="Normal 287" xfId="686" xr:uid="{00000000-0005-0000-0000-00000A030000}"/>
    <cellStyle name="Normal 288" xfId="687" xr:uid="{00000000-0005-0000-0000-00000B030000}"/>
    <cellStyle name="Normal 289" xfId="688" xr:uid="{00000000-0005-0000-0000-00000C030000}"/>
    <cellStyle name="Normal 29" xfId="689" xr:uid="{00000000-0005-0000-0000-00000D030000}"/>
    <cellStyle name="Normal 29 2" xfId="690" xr:uid="{00000000-0005-0000-0000-00000E030000}"/>
    <cellStyle name="Normal 290" xfId="691" xr:uid="{00000000-0005-0000-0000-00000F030000}"/>
    <cellStyle name="Normal 291" xfId="692" xr:uid="{00000000-0005-0000-0000-000010030000}"/>
    <cellStyle name="Normal 292" xfId="693" xr:uid="{00000000-0005-0000-0000-000011030000}"/>
    <cellStyle name="Normal 293" xfId="694" xr:uid="{00000000-0005-0000-0000-000012030000}"/>
    <cellStyle name="Normal 294" xfId="695" xr:uid="{00000000-0005-0000-0000-000013030000}"/>
    <cellStyle name="Normal 295" xfId="696" xr:uid="{00000000-0005-0000-0000-000014030000}"/>
    <cellStyle name="Normal 296" xfId="697" xr:uid="{00000000-0005-0000-0000-000015030000}"/>
    <cellStyle name="Normal 297" xfId="698" xr:uid="{00000000-0005-0000-0000-000016030000}"/>
    <cellStyle name="Normal 298" xfId="699" xr:uid="{00000000-0005-0000-0000-000017030000}"/>
    <cellStyle name="Normal 299" xfId="700" xr:uid="{00000000-0005-0000-0000-000018030000}"/>
    <cellStyle name="Normal 3" xfId="701" xr:uid="{00000000-0005-0000-0000-000019030000}"/>
    <cellStyle name="Normal 3 10" xfId="1216" xr:uid="{00000000-0005-0000-0000-00001A030000}"/>
    <cellStyle name="Normal 3 11" xfId="1241" xr:uid="{00000000-0005-0000-0000-00001B030000}"/>
    <cellStyle name="Normal 3 2" xfId="702" xr:uid="{00000000-0005-0000-0000-00001C030000}"/>
    <cellStyle name="Normal 3 2 2" xfId="703" xr:uid="{00000000-0005-0000-0000-00001D030000}"/>
    <cellStyle name="Normal 3 2 3" xfId="704" xr:uid="{00000000-0005-0000-0000-00001E030000}"/>
    <cellStyle name="Normal 3 2 4" xfId="1222" xr:uid="{00000000-0005-0000-0000-00001F030000}"/>
    <cellStyle name="Normal 3 3" xfId="705" xr:uid="{00000000-0005-0000-0000-000020030000}"/>
    <cellStyle name="Normal 3 3 2" xfId="706" xr:uid="{00000000-0005-0000-0000-000021030000}"/>
    <cellStyle name="Normal 3 4" xfId="707" xr:uid="{00000000-0005-0000-0000-000022030000}"/>
    <cellStyle name="Normal 3 4 2" xfId="708" xr:uid="{00000000-0005-0000-0000-000023030000}"/>
    <cellStyle name="Normal 3 5" xfId="709" xr:uid="{00000000-0005-0000-0000-000024030000}"/>
    <cellStyle name="Normal 3 6" xfId="710" xr:uid="{00000000-0005-0000-0000-000025030000}"/>
    <cellStyle name="Normal 3 7" xfId="711" xr:uid="{00000000-0005-0000-0000-000026030000}"/>
    <cellStyle name="Normal 3 8" xfId="712" xr:uid="{00000000-0005-0000-0000-000027030000}"/>
    <cellStyle name="Normal 3 9" xfId="1131" xr:uid="{00000000-0005-0000-0000-000028030000}"/>
    <cellStyle name="Normal 30" xfId="713" xr:uid="{00000000-0005-0000-0000-000029030000}"/>
    <cellStyle name="Normal 30 2" xfId="714" xr:uid="{00000000-0005-0000-0000-00002A030000}"/>
    <cellStyle name="Normal 300" xfId="715" xr:uid="{00000000-0005-0000-0000-00002B030000}"/>
    <cellStyle name="Normal 301" xfId="716" xr:uid="{00000000-0005-0000-0000-00002C030000}"/>
    <cellStyle name="Normal 302" xfId="717" xr:uid="{00000000-0005-0000-0000-00002D030000}"/>
    <cellStyle name="Normal 303" xfId="718" xr:uid="{00000000-0005-0000-0000-00002E030000}"/>
    <cellStyle name="Normal 304" xfId="719" xr:uid="{00000000-0005-0000-0000-00002F030000}"/>
    <cellStyle name="Normal 305" xfId="720" xr:uid="{00000000-0005-0000-0000-000030030000}"/>
    <cellStyle name="Normal 306" xfId="721" xr:uid="{00000000-0005-0000-0000-000031030000}"/>
    <cellStyle name="Normal 307" xfId="722" xr:uid="{00000000-0005-0000-0000-000032030000}"/>
    <cellStyle name="Normal 308" xfId="723" xr:uid="{00000000-0005-0000-0000-000033030000}"/>
    <cellStyle name="Normal 309" xfId="724" xr:uid="{00000000-0005-0000-0000-000034030000}"/>
    <cellStyle name="Normal 31" xfId="725" xr:uid="{00000000-0005-0000-0000-000035030000}"/>
    <cellStyle name="Normal 310" xfId="726" xr:uid="{00000000-0005-0000-0000-000036030000}"/>
    <cellStyle name="Normal 311" xfId="727" xr:uid="{00000000-0005-0000-0000-000037030000}"/>
    <cellStyle name="Normal 312" xfId="728" xr:uid="{00000000-0005-0000-0000-000038030000}"/>
    <cellStyle name="Normal 313" xfId="729" xr:uid="{00000000-0005-0000-0000-000039030000}"/>
    <cellStyle name="Normal 314" xfId="730" xr:uid="{00000000-0005-0000-0000-00003A030000}"/>
    <cellStyle name="Normal 315" xfId="731" xr:uid="{00000000-0005-0000-0000-00003B030000}"/>
    <cellStyle name="Normal 316" xfId="732" xr:uid="{00000000-0005-0000-0000-00003C030000}"/>
    <cellStyle name="Normal 317" xfId="733" xr:uid="{00000000-0005-0000-0000-00003D030000}"/>
    <cellStyle name="Normal 318" xfId="734" xr:uid="{00000000-0005-0000-0000-00003E030000}"/>
    <cellStyle name="Normal 319" xfId="735" xr:uid="{00000000-0005-0000-0000-00003F030000}"/>
    <cellStyle name="Normal 32" xfId="736" xr:uid="{00000000-0005-0000-0000-000040030000}"/>
    <cellStyle name="Normal 320" xfId="737" xr:uid="{00000000-0005-0000-0000-000041030000}"/>
    <cellStyle name="Normal 321" xfId="738" xr:uid="{00000000-0005-0000-0000-000042030000}"/>
    <cellStyle name="Normal 322" xfId="739" xr:uid="{00000000-0005-0000-0000-000043030000}"/>
    <cellStyle name="Normal 323" xfId="740" xr:uid="{00000000-0005-0000-0000-000044030000}"/>
    <cellStyle name="Normal 324" xfId="741" xr:uid="{00000000-0005-0000-0000-000045030000}"/>
    <cellStyle name="Normal 325" xfId="742" xr:uid="{00000000-0005-0000-0000-000046030000}"/>
    <cellStyle name="Normal 326" xfId="743" xr:uid="{00000000-0005-0000-0000-000047030000}"/>
    <cellStyle name="Normal 327" xfId="744" xr:uid="{00000000-0005-0000-0000-000048030000}"/>
    <cellStyle name="Normal 328" xfId="745" xr:uid="{00000000-0005-0000-0000-000049030000}"/>
    <cellStyle name="Normal 329" xfId="746" xr:uid="{00000000-0005-0000-0000-00004A030000}"/>
    <cellStyle name="Normal 33" xfId="747" xr:uid="{00000000-0005-0000-0000-00004B030000}"/>
    <cellStyle name="Normal 330" xfId="748" xr:uid="{00000000-0005-0000-0000-00004C030000}"/>
    <cellStyle name="Normal 331" xfId="749" xr:uid="{00000000-0005-0000-0000-00004D030000}"/>
    <cellStyle name="Normal 332" xfId="750" xr:uid="{00000000-0005-0000-0000-00004E030000}"/>
    <cellStyle name="Normal 333" xfId="751" xr:uid="{00000000-0005-0000-0000-00004F030000}"/>
    <cellStyle name="Normal 334" xfId="752" xr:uid="{00000000-0005-0000-0000-000050030000}"/>
    <cellStyle name="Normal 335" xfId="753" xr:uid="{00000000-0005-0000-0000-000051030000}"/>
    <cellStyle name="Normal 336" xfId="754" xr:uid="{00000000-0005-0000-0000-000052030000}"/>
    <cellStyle name="Normal 337" xfId="755" xr:uid="{00000000-0005-0000-0000-000053030000}"/>
    <cellStyle name="Normal 338" xfId="756" xr:uid="{00000000-0005-0000-0000-000054030000}"/>
    <cellStyle name="Normal 339" xfId="757" xr:uid="{00000000-0005-0000-0000-000055030000}"/>
    <cellStyle name="Normal 34" xfId="758" xr:uid="{00000000-0005-0000-0000-000056030000}"/>
    <cellStyle name="Normal 340" xfId="7" xr:uid="{00000000-0005-0000-0000-000057030000}"/>
    <cellStyle name="Normal 341" xfId="1052" xr:uid="{00000000-0005-0000-0000-000058030000}"/>
    <cellStyle name="Normal 342" xfId="1056" xr:uid="{00000000-0005-0000-0000-000059030000}"/>
    <cellStyle name="Normal 343" xfId="1058" xr:uid="{00000000-0005-0000-0000-00005A030000}"/>
    <cellStyle name="Normal 344" xfId="1061" xr:uid="{00000000-0005-0000-0000-00005B030000}"/>
    <cellStyle name="Normal 345" xfId="1063" xr:uid="{00000000-0005-0000-0000-00005C030000}"/>
    <cellStyle name="Normal 346" xfId="1074" xr:uid="{00000000-0005-0000-0000-00005D030000}"/>
    <cellStyle name="Normal 347" xfId="1139" xr:uid="{00000000-0005-0000-0000-00005E030000}"/>
    <cellStyle name="Normal 348" xfId="1187" xr:uid="{00000000-0005-0000-0000-00005F030000}"/>
    <cellStyle name="Normal 349" xfId="1173" xr:uid="{00000000-0005-0000-0000-000060030000}"/>
    <cellStyle name="Normal 35" xfId="759" xr:uid="{00000000-0005-0000-0000-000061030000}"/>
    <cellStyle name="Normal 350" xfId="1180" xr:uid="{00000000-0005-0000-0000-000062030000}"/>
    <cellStyle name="Normal 351" xfId="1189" xr:uid="{00000000-0005-0000-0000-000063030000}"/>
    <cellStyle name="Normal 352" xfId="1171" xr:uid="{00000000-0005-0000-0000-000064030000}"/>
    <cellStyle name="Normal 353" xfId="1192" xr:uid="{00000000-0005-0000-0000-000065030000}"/>
    <cellStyle name="Normal 354" xfId="1168" xr:uid="{00000000-0005-0000-0000-000066030000}"/>
    <cellStyle name="Normal 355" xfId="1182" xr:uid="{00000000-0005-0000-0000-000067030000}"/>
    <cellStyle name="Normal 356" xfId="1197" xr:uid="{00000000-0005-0000-0000-000068030000}"/>
    <cellStyle name="Normal 357" xfId="1181" xr:uid="{00000000-0005-0000-0000-000069030000}"/>
    <cellStyle name="Normal 358" xfId="1198" xr:uid="{00000000-0005-0000-0000-00006A030000}"/>
    <cellStyle name="Normal 359" xfId="1190" xr:uid="{00000000-0005-0000-0000-00006B030000}"/>
    <cellStyle name="Normal 36" xfId="760" xr:uid="{00000000-0005-0000-0000-00006C030000}"/>
    <cellStyle name="Normal 360" xfId="1167" xr:uid="{00000000-0005-0000-0000-00006D030000}"/>
    <cellStyle name="Normal 361" xfId="1196" xr:uid="{00000000-0005-0000-0000-00006E030000}"/>
    <cellStyle name="Normal 362" xfId="1201" xr:uid="{00000000-0005-0000-0000-00006F030000}"/>
    <cellStyle name="Normal 363" xfId="1165" xr:uid="{00000000-0005-0000-0000-000070030000}"/>
    <cellStyle name="Normal 364" xfId="1203" xr:uid="{00000000-0005-0000-0000-000071030000}"/>
    <cellStyle name="Normal 365" xfId="1204" xr:uid="{00000000-0005-0000-0000-000072030000}"/>
    <cellStyle name="Normal 366" xfId="1202" xr:uid="{00000000-0005-0000-0000-000073030000}"/>
    <cellStyle name="Normal 367" xfId="1200" xr:uid="{00000000-0005-0000-0000-000074030000}"/>
    <cellStyle name="Normal 368" xfId="1194" xr:uid="{00000000-0005-0000-0000-000075030000}"/>
    <cellStyle name="Normal 369" xfId="1186" xr:uid="{00000000-0005-0000-0000-000076030000}"/>
    <cellStyle name="Normal 37" xfId="761" xr:uid="{00000000-0005-0000-0000-000077030000}"/>
    <cellStyle name="Normal 370" xfId="1178" xr:uid="{00000000-0005-0000-0000-000078030000}"/>
    <cellStyle name="Normal 371" xfId="1212" xr:uid="{00000000-0005-0000-0000-000079030000}"/>
    <cellStyle name="Normal 372" xfId="1224" xr:uid="{00000000-0005-0000-0000-00007A030000}"/>
    <cellStyle name="Normal 373" xfId="1235" xr:uid="{00000000-0005-0000-0000-00007B030000}"/>
    <cellStyle name="Normal 374" xfId="1238" xr:uid="{00000000-0005-0000-0000-00007C030000}"/>
    <cellStyle name="Normal 375" xfId="1246" xr:uid="{00000000-0005-0000-0000-00007D030000}"/>
    <cellStyle name="Normal 376" xfId="1251" xr:uid="{00000000-0005-0000-0000-00007E030000}"/>
    <cellStyle name="Normal 377" xfId="1250" xr:uid="{00000000-0005-0000-0000-00007F030000}"/>
    <cellStyle name="Normal 378" xfId="1253" xr:uid="{00000000-0005-0000-0000-000080030000}"/>
    <cellStyle name="Normal 379" xfId="1242" xr:uid="{00000000-0005-0000-0000-000081030000}"/>
    <cellStyle name="Normal 38" xfId="762" xr:uid="{00000000-0005-0000-0000-000082030000}"/>
    <cellStyle name="Normal 380" xfId="1258" xr:uid="{00000000-0005-0000-0000-000083030000}"/>
    <cellStyle name="Normal 381" xfId="1259" xr:uid="{00000000-0005-0000-0000-000084030000}"/>
    <cellStyle name="Normal 382" xfId="6" xr:uid="{00000000-0005-0000-0000-000085030000}"/>
    <cellStyle name="Normal 39" xfId="763" xr:uid="{00000000-0005-0000-0000-000086030000}"/>
    <cellStyle name="Normal 4" xfId="764" xr:uid="{00000000-0005-0000-0000-000087030000}"/>
    <cellStyle name="Normal 4 10" xfId="765" xr:uid="{00000000-0005-0000-0000-000088030000}"/>
    <cellStyle name="Normal 4 11" xfId="766" xr:uid="{00000000-0005-0000-0000-000089030000}"/>
    <cellStyle name="Normal 4 12" xfId="767" xr:uid="{00000000-0005-0000-0000-00008A030000}"/>
    <cellStyle name="Normal 4 13" xfId="1079" xr:uid="{00000000-0005-0000-0000-00008B030000}"/>
    <cellStyle name="Normal 4 14" xfId="1217" xr:uid="{00000000-0005-0000-0000-00008C030000}"/>
    <cellStyle name="Normal 4 2" xfId="768" xr:uid="{00000000-0005-0000-0000-00008D030000}"/>
    <cellStyle name="Normal 4 2 2" xfId="769" xr:uid="{00000000-0005-0000-0000-00008E030000}"/>
    <cellStyle name="Normal 4 3" xfId="770" xr:uid="{00000000-0005-0000-0000-00008F030000}"/>
    <cellStyle name="Normal 4 3 2" xfId="771" xr:uid="{00000000-0005-0000-0000-000090030000}"/>
    <cellStyle name="Normal 4 4" xfId="772" xr:uid="{00000000-0005-0000-0000-000091030000}"/>
    <cellStyle name="Normal 4 4 2" xfId="773" xr:uid="{00000000-0005-0000-0000-000092030000}"/>
    <cellStyle name="Normal 4 5" xfId="774" xr:uid="{00000000-0005-0000-0000-000093030000}"/>
    <cellStyle name="Normal 4 5 2" xfId="775" xr:uid="{00000000-0005-0000-0000-000094030000}"/>
    <cellStyle name="Normal 4 6" xfId="776" xr:uid="{00000000-0005-0000-0000-000095030000}"/>
    <cellStyle name="Normal 4 7" xfId="777" xr:uid="{00000000-0005-0000-0000-000096030000}"/>
    <cellStyle name="Normal 4 7 2" xfId="778" xr:uid="{00000000-0005-0000-0000-000097030000}"/>
    <cellStyle name="Normal 4 8" xfId="779" xr:uid="{00000000-0005-0000-0000-000098030000}"/>
    <cellStyle name="Normal 4 8 2" xfId="780" xr:uid="{00000000-0005-0000-0000-000099030000}"/>
    <cellStyle name="Normal 4 9" xfId="781" xr:uid="{00000000-0005-0000-0000-00009A030000}"/>
    <cellStyle name="Normal 40" xfId="782" xr:uid="{00000000-0005-0000-0000-00009B030000}"/>
    <cellStyle name="Normal 41" xfId="783" xr:uid="{00000000-0005-0000-0000-00009C030000}"/>
    <cellStyle name="Normal 42" xfId="784" xr:uid="{00000000-0005-0000-0000-00009D030000}"/>
    <cellStyle name="Normal 43" xfId="785" xr:uid="{00000000-0005-0000-0000-00009E030000}"/>
    <cellStyle name="Normal 44" xfId="786" xr:uid="{00000000-0005-0000-0000-00009F030000}"/>
    <cellStyle name="Normal 45" xfId="787" xr:uid="{00000000-0005-0000-0000-0000A0030000}"/>
    <cellStyle name="Normal 46" xfId="788" xr:uid="{00000000-0005-0000-0000-0000A1030000}"/>
    <cellStyle name="Normal 47" xfId="789" xr:uid="{00000000-0005-0000-0000-0000A2030000}"/>
    <cellStyle name="Normal 48" xfId="790" xr:uid="{00000000-0005-0000-0000-0000A3030000}"/>
    <cellStyle name="Normal 49" xfId="791" xr:uid="{00000000-0005-0000-0000-0000A4030000}"/>
    <cellStyle name="Normal 5" xfId="792" xr:uid="{00000000-0005-0000-0000-0000A5030000}"/>
    <cellStyle name="Normal 5 2" xfId="793" xr:uid="{00000000-0005-0000-0000-0000A6030000}"/>
    <cellStyle name="Normal 5 3" xfId="794" xr:uid="{00000000-0005-0000-0000-0000A7030000}"/>
    <cellStyle name="Normal 5 4" xfId="1132" xr:uid="{00000000-0005-0000-0000-0000A8030000}"/>
    <cellStyle name="Normal 5 5" xfId="1243" xr:uid="{00000000-0005-0000-0000-0000A9030000}"/>
    <cellStyle name="Normal 50" xfId="795" xr:uid="{00000000-0005-0000-0000-0000AA030000}"/>
    <cellStyle name="Normal 51" xfId="796" xr:uid="{00000000-0005-0000-0000-0000AB030000}"/>
    <cellStyle name="Normal 52" xfId="797" xr:uid="{00000000-0005-0000-0000-0000AC030000}"/>
    <cellStyle name="Normal 53" xfId="798" xr:uid="{00000000-0005-0000-0000-0000AD030000}"/>
    <cellStyle name="Normal 54" xfId="799" xr:uid="{00000000-0005-0000-0000-0000AE030000}"/>
    <cellStyle name="Normal 55" xfId="800" xr:uid="{00000000-0005-0000-0000-0000AF030000}"/>
    <cellStyle name="Normal 56" xfId="801" xr:uid="{00000000-0005-0000-0000-0000B0030000}"/>
    <cellStyle name="Normal 57" xfId="802" xr:uid="{00000000-0005-0000-0000-0000B1030000}"/>
    <cellStyle name="Normal 58" xfId="803" xr:uid="{00000000-0005-0000-0000-0000B2030000}"/>
    <cellStyle name="Normal 59" xfId="804" xr:uid="{00000000-0005-0000-0000-0000B3030000}"/>
    <cellStyle name="Normal 6" xfId="805" xr:uid="{00000000-0005-0000-0000-0000B4030000}"/>
    <cellStyle name="Normal 6 2" xfId="806" xr:uid="{00000000-0005-0000-0000-0000B5030000}"/>
    <cellStyle name="Normal 6 3" xfId="807" xr:uid="{00000000-0005-0000-0000-0000B6030000}"/>
    <cellStyle name="Normal 6 4" xfId="808" xr:uid="{00000000-0005-0000-0000-0000B7030000}"/>
    <cellStyle name="Normal 60" xfId="809" xr:uid="{00000000-0005-0000-0000-0000B8030000}"/>
    <cellStyle name="Normal 61" xfId="810" xr:uid="{00000000-0005-0000-0000-0000B9030000}"/>
    <cellStyle name="Normal 62" xfId="811" xr:uid="{00000000-0005-0000-0000-0000BA030000}"/>
    <cellStyle name="Normal 63" xfId="812" xr:uid="{00000000-0005-0000-0000-0000BB030000}"/>
    <cellStyle name="Normal 64" xfId="813" xr:uid="{00000000-0005-0000-0000-0000BC030000}"/>
    <cellStyle name="Normal 65" xfId="814" xr:uid="{00000000-0005-0000-0000-0000BD030000}"/>
    <cellStyle name="Normal 66" xfId="815" xr:uid="{00000000-0005-0000-0000-0000BE030000}"/>
    <cellStyle name="Normal 67" xfId="816" xr:uid="{00000000-0005-0000-0000-0000BF030000}"/>
    <cellStyle name="Normal 68" xfId="817" xr:uid="{00000000-0005-0000-0000-0000C0030000}"/>
    <cellStyle name="Normal 69" xfId="818" xr:uid="{00000000-0005-0000-0000-0000C1030000}"/>
    <cellStyle name="Normal 7" xfId="819" xr:uid="{00000000-0005-0000-0000-0000C2030000}"/>
    <cellStyle name="Normal 7 2" xfId="820" xr:uid="{00000000-0005-0000-0000-0000C3030000}"/>
    <cellStyle name="Normal 7 2 2" xfId="1156" xr:uid="{00000000-0005-0000-0000-0000C4030000}"/>
    <cellStyle name="Normal 7 3" xfId="821" xr:uid="{00000000-0005-0000-0000-0000C5030000}"/>
    <cellStyle name="Normal 7 4" xfId="1134" xr:uid="{00000000-0005-0000-0000-0000C6030000}"/>
    <cellStyle name="Normal 7 5" xfId="1248" xr:uid="{00000000-0005-0000-0000-0000C7030000}"/>
    <cellStyle name="Normal 70" xfId="822" xr:uid="{00000000-0005-0000-0000-0000C8030000}"/>
    <cellStyle name="Normal 71" xfId="823" xr:uid="{00000000-0005-0000-0000-0000C9030000}"/>
    <cellStyle name="Normal 72" xfId="824" xr:uid="{00000000-0005-0000-0000-0000CA030000}"/>
    <cellStyle name="Normal 73" xfId="825" xr:uid="{00000000-0005-0000-0000-0000CB030000}"/>
    <cellStyle name="Normal 74" xfId="826" xr:uid="{00000000-0005-0000-0000-0000CC030000}"/>
    <cellStyle name="Normal 75" xfId="827" xr:uid="{00000000-0005-0000-0000-0000CD030000}"/>
    <cellStyle name="Normal 75 2" xfId="828" xr:uid="{00000000-0005-0000-0000-0000CE030000}"/>
    <cellStyle name="Normal 76" xfId="829" xr:uid="{00000000-0005-0000-0000-0000CF030000}"/>
    <cellStyle name="Normal 76 2" xfId="830" xr:uid="{00000000-0005-0000-0000-0000D0030000}"/>
    <cellStyle name="Normal 77" xfId="831" xr:uid="{00000000-0005-0000-0000-0000D1030000}"/>
    <cellStyle name="Normal 77 2" xfId="832" xr:uid="{00000000-0005-0000-0000-0000D2030000}"/>
    <cellStyle name="Normal 78" xfId="833" xr:uid="{00000000-0005-0000-0000-0000D3030000}"/>
    <cellStyle name="Normal 78 2" xfId="834" xr:uid="{00000000-0005-0000-0000-0000D4030000}"/>
    <cellStyle name="Normal 79" xfId="835" xr:uid="{00000000-0005-0000-0000-0000D5030000}"/>
    <cellStyle name="Normal 79 2" xfId="836" xr:uid="{00000000-0005-0000-0000-0000D6030000}"/>
    <cellStyle name="Normal 8" xfId="837" xr:uid="{00000000-0005-0000-0000-0000D7030000}"/>
    <cellStyle name="Normal 8 10" xfId="838" xr:uid="{00000000-0005-0000-0000-0000D8030000}"/>
    <cellStyle name="Normal 8 11" xfId="1135" xr:uid="{00000000-0005-0000-0000-0000D9030000}"/>
    <cellStyle name="Normal 8 2" xfId="839" xr:uid="{00000000-0005-0000-0000-0000DA030000}"/>
    <cellStyle name="Normal 8 2 2" xfId="840" xr:uid="{00000000-0005-0000-0000-0000DB030000}"/>
    <cellStyle name="Normal 8 2 3" xfId="1157" xr:uid="{00000000-0005-0000-0000-0000DC030000}"/>
    <cellStyle name="Normal 8 3" xfId="841" xr:uid="{00000000-0005-0000-0000-0000DD030000}"/>
    <cellStyle name="Normal 8 3 2" xfId="842" xr:uid="{00000000-0005-0000-0000-0000DE030000}"/>
    <cellStyle name="Normal 8 4" xfId="843" xr:uid="{00000000-0005-0000-0000-0000DF030000}"/>
    <cellStyle name="Normal 8 4 2" xfId="844" xr:uid="{00000000-0005-0000-0000-0000E0030000}"/>
    <cellStyle name="Normal 8 5" xfId="845" xr:uid="{00000000-0005-0000-0000-0000E1030000}"/>
    <cellStyle name="Normal 8 6" xfId="846" xr:uid="{00000000-0005-0000-0000-0000E2030000}"/>
    <cellStyle name="Normal 8 6 2" xfId="847" xr:uid="{00000000-0005-0000-0000-0000E3030000}"/>
    <cellStyle name="Normal 8 7" xfId="848" xr:uid="{00000000-0005-0000-0000-0000E4030000}"/>
    <cellStyle name="Normal 8 7 2" xfId="849" xr:uid="{00000000-0005-0000-0000-0000E5030000}"/>
    <cellStyle name="Normal 8 8" xfId="850" xr:uid="{00000000-0005-0000-0000-0000E6030000}"/>
    <cellStyle name="Normal 8 9" xfId="851" xr:uid="{00000000-0005-0000-0000-0000E7030000}"/>
    <cellStyle name="Normal 80" xfId="852" xr:uid="{00000000-0005-0000-0000-0000E8030000}"/>
    <cellStyle name="Normal 80 2" xfId="853" xr:uid="{00000000-0005-0000-0000-0000E9030000}"/>
    <cellStyle name="Normal 81" xfId="854" xr:uid="{00000000-0005-0000-0000-0000EA030000}"/>
    <cellStyle name="Normal 81 2" xfId="855" xr:uid="{00000000-0005-0000-0000-0000EB030000}"/>
    <cellStyle name="Normal 82" xfId="856" xr:uid="{00000000-0005-0000-0000-0000EC030000}"/>
    <cellStyle name="Normal 82 2" xfId="857" xr:uid="{00000000-0005-0000-0000-0000ED030000}"/>
    <cellStyle name="Normal 83" xfId="858" xr:uid="{00000000-0005-0000-0000-0000EE030000}"/>
    <cellStyle name="Normal 83 2" xfId="859" xr:uid="{00000000-0005-0000-0000-0000EF030000}"/>
    <cellStyle name="Normal 84" xfId="860" xr:uid="{00000000-0005-0000-0000-0000F0030000}"/>
    <cellStyle name="Normal 84 2" xfId="861" xr:uid="{00000000-0005-0000-0000-0000F1030000}"/>
    <cellStyle name="Normal 85" xfId="862" xr:uid="{00000000-0005-0000-0000-0000F2030000}"/>
    <cellStyle name="Normal 85 2" xfId="863" xr:uid="{00000000-0005-0000-0000-0000F3030000}"/>
    <cellStyle name="Normal 86" xfId="864" xr:uid="{00000000-0005-0000-0000-0000F4030000}"/>
    <cellStyle name="Normal 86 2" xfId="865" xr:uid="{00000000-0005-0000-0000-0000F5030000}"/>
    <cellStyle name="Normal 87" xfId="866" xr:uid="{00000000-0005-0000-0000-0000F6030000}"/>
    <cellStyle name="Normal 87 2" xfId="867" xr:uid="{00000000-0005-0000-0000-0000F7030000}"/>
    <cellStyle name="Normal 88" xfId="868" xr:uid="{00000000-0005-0000-0000-0000F8030000}"/>
    <cellStyle name="Normal 88 2" xfId="869" xr:uid="{00000000-0005-0000-0000-0000F9030000}"/>
    <cellStyle name="Normal 89" xfId="870" xr:uid="{00000000-0005-0000-0000-0000FA030000}"/>
    <cellStyle name="Normal 89 2" xfId="871" xr:uid="{00000000-0005-0000-0000-0000FB030000}"/>
    <cellStyle name="Normal 9" xfId="872" xr:uid="{00000000-0005-0000-0000-0000FC030000}"/>
    <cellStyle name="Normal 9 2" xfId="873" xr:uid="{00000000-0005-0000-0000-0000FD030000}"/>
    <cellStyle name="Normal 90" xfId="874" xr:uid="{00000000-0005-0000-0000-0000FE030000}"/>
    <cellStyle name="Normal 90 2" xfId="875" xr:uid="{00000000-0005-0000-0000-0000FF030000}"/>
    <cellStyle name="Normal 91" xfId="876" xr:uid="{00000000-0005-0000-0000-000000040000}"/>
    <cellStyle name="Normal 92" xfId="877" xr:uid="{00000000-0005-0000-0000-000001040000}"/>
    <cellStyle name="Normal 93" xfId="878" xr:uid="{00000000-0005-0000-0000-000002040000}"/>
    <cellStyle name="Normal 94" xfId="879" xr:uid="{00000000-0005-0000-0000-000003040000}"/>
    <cellStyle name="Normal 95" xfId="880" xr:uid="{00000000-0005-0000-0000-000004040000}"/>
    <cellStyle name="Normal 96" xfId="881" xr:uid="{00000000-0005-0000-0000-000005040000}"/>
    <cellStyle name="Normal 97" xfId="882" xr:uid="{00000000-0005-0000-0000-000006040000}"/>
    <cellStyle name="Normal 98" xfId="883" xr:uid="{00000000-0005-0000-0000-000007040000}"/>
    <cellStyle name="Normal 99" xfId="884" xr:uid="{00000000-0005-0000-0000-000008040000}"/>
    <cellStyle name="Note 10" xfId="885" xr:uid="{00000000-0005-0000-0000-000009040000}"/>
    <cellStyle name="Note 2" xfId="886" xr:uid="{00000000-0005-0000-0000-00000A040000}"/>
    <cellStyle name="Note 2 2" xfId="887" xr:uid="{00000000-0005-0000-0000-00000B040000}"/>
    <cellStyle name="Note 2 3" xfId="1136" xr:uid="{00000000-0005-0000-0000-00000C040000}"/>
    <cellStyle name="Note 3" xfId="888" xr:uid="{00000000-0005-0000-0000-00000D040000}"/>
    <cellStyle name="Note 3 2" xfId="889" xr:uid="{00000000-0005-0000-0000-00000E040000}"/>
    <cellStyle name="Note 3 3" xfId="890" xr:uid="{00000000-0005-0000-0000-00000F040000}"/>
    <cellStyle name="Note 3 4" xfId="1137" xr:uid="{00000000-0005-0000-0000-000010040000}"/>
    <cellStyle name="Note 4" xfId="891" xr:uid="{00000000-0005-0000-0000-000011040000}"/>
    <cellStyle name="Note 5" xfId="892" xr:uid="{00000000-0005-0000-0000-000012040000}"/>
    <cellStyle name="Note 6" xfId="893" xr:uid="{00000000-0005-0000-0000-000013040000}"/>
    <cellStyle name="Note 7" xfId="894" xr:uid="{00000000-0005-0000-0000-000014040000}"/>
    <cellStyle name="Note 8" xfId="895" xr:uid="{00000000-0005-0000-0000-000015040000}"/>
    <cellStyle name="Note 9" xfId="896" xr:uid="{00000000-0005-0000-0000-000016040000}"/>
    <cellStyle name="Number" xfId="897" xr:uid="{00000000-0005-0000-0000-000017040000}"/>
    <cellStyle name="Number 2" xfId="898" xr:uid="{00000000-0005-0000-0000-000018040000}"/>
    <cellStyle name="Number 3" xfId="899" xr:uid="{00000000-0005-0000-0000-000019040000}"/>
    <cellStyle name="Output 2" xfId="900" xr:uid="{00000000-0005-0000-0000-00001A040000}"/>
    <cellStyle name="Output 2 2" xfId="1138" xr:uid="{00000000-0005-0000-0000-00001B040000}"/>
    <cellStyle name="Output 3" xfId="901" xr:uid="{00000000-0005-0000-0000-00001C040000}"/>
    <cellStyle name="Output Amounts" xfId="902" xr:uid="{00000000-0005-0000-0000-00001D040000}"/>
    <cellStyle name="Output Column Headings" xfId="903" xr:uid="{00000000-0005-0000-0000-00001E040000}"/>
    <cellStyle name="Output Line Items" xfId="904" xr:uid="{00000000-0005-0000-0000-00001F040000}"/>
    <cellStyle name="Output Report Heading" xfId="905" xr:uid="{00000000-0005-0000-0000-000020040000}"/>
    <cellStyle name="Output Report Title" xfId="906" xr:uid="{00000000-0005-0000-0000-000021040000}"/>
    <cellStyle name="Percen - Style2" xfId="907" xr:uid="{00000000-0005-0000-0000-000022040000}"/>
    <cellStyle name="Percen - Style3" xfId="908" xr:uid="{00000000-0005-0000-0000-000023040000}"/>
    <cellStyle name="Percent" xfId="2" builtinId="5"/>
    <cellStyle name="Percent [2]" xfId="909" xr:uid="{00000000-0005-0000-0000-000025040000}"/>
    <cellStyle name="Percent 10" xfId="910" xr:uid="{00000000-0005-0000-0000-000026040000}"/>
    <cellStyle name="Percent 100" xfId="1237" xr:uid="{00000000-0005-0000-0000-000027040000}"/>
    <cellStyle name="Percent 101" xfId="1240" xr:uid="{00000000-0005-0000-0000-000028040000}"/>
    <cellStyle name="Percent 102" xfId="1247" xr:uid="{00000000-0005-0000-0000-000029040000}"/>
    <cellStyle name="Percent 103" xfId="1252" xr:uid="{00000000-0005-0000-0000-00002A040000}"/>
    <cellStyle name="Percent 104" xfId="1255" xr:uid="{00000000-0005-0000-0000-00002B040000}"/>
    <cellStyle name="Percent 105" xfId="1256" xr:uid="{00000000-0005-0000-0000-00002C040000}"/>
    <cellStyle name="Percent 106" xfId="1257" xr:uid="{00000000-0005-0000-0000-00002D040000}"/>
    <cellStyle name="Percent 107" xfId="1254" xr:uid="{00000000-0005-0000-0000-00002E040000}"/>
    <cellStyle name="Percent 108" xfId="1051" xr:uid="{00000000-0005-0000-0000-00002F040000}"/>
    <cellStyle name="Percent 11" xfId="911" xr:uid="{00000000-0005-0000-0000-000030040000}"/>
    <cellStyle name="Percent 11 2" xfId="1069" xr:uid="{00000000-0005-0000-0000-000031040000}"/>
    <cellStyle name="Percent 11 2 2" xfId="1071" xr:uid="{00000000-0005-0000-0000-000032040000}"/>
    <cellStyle name="Percent 12" xfId="912" xr:uid="{00000000-0005-0000-0000-000033040000}"/>
    <cellStyle name="Percent 13" xfId="913" xr:uid="{00000000-0005-0000-0000-000034040000}"/>
    <cellStyle name="Percent 14" xfId="914" xr:uid="{00000000-0005-0000-0000-000035040000}"/>
    <cellStyle name="Percent 15" xfId="915" xr:uid="{00000000-0005-0000-0000-000036040000}"/>
    <cellStyle name="Percent 16" xfId="916" xr:uid="{00000000-0005-0000-0000-000037040000}"/>
    <cellStyle name="Percent 17" xfId="917" xr:uid="{00000000-0005-0000-0000-000038040000}"/>
    <cellStyle name="Percent 18" xfId="918" xr:uid="{00000000-0005-0000-0000-000039040000}"/>
    <cellStyle name="Percent 19" xfId="919" xr:uid="{00000000-0005-0000-0000-00003A040000}"/>
    <cellStyle name="Percent 2" xfId="14" xr:uid="{00000000-0005-0000-0000-00003B040000}"/>
    <cellStyle name="Percent 2 10" xfId="920" xr:uid="{00000000-0005-0000-0000-00003C040000}"/>
    <cellStyle name="Percent 2 11" xfId="921" xr:uid="{00000000-0005-0000-0000-00003D040000}"/>
    <cellStyle name="Percent 2 12" xfId="922" xr:uid="{00000000-0005-0000-0000-00003E040000}"/>
    <cellStyle name="Percent 2 13" xfId="923" xr:uid="{00000000-0005-0000-0000-00003F040000}"/>
    <cellStyle name="Percent 2 14" xfId="1218" xr:uid="{00000000-0005-0000-0000-000040040000}"/>
    <cellStyle name="Percent 2 15" xfId="1215" xr:uid="{00000000-0005-0000-0000-000041040000}"/>
    <cellStyle name="Percent 2 2" xfId="924" xr:uid="{00000000-0005-0000-0000-000042040000}"/>
    <cellStyle name="Percent 2 3" xfId="925" xr:uid="{00000000-0005-0000-0000-000043040000}"/>
    <cellStyle name="Percent 2 3 2" xfId="926" xr:uid="{00000000-0005-0000-0000-000044040000}"/>
    <cellStyle name="Percent 2 4" xfId="927" xr:uid="{00000000-0005-0000-0000-000045040000}"/>
    <cellStyle name="Percent 2 4 2" xfId="928" xr:uid="{00000000-0005-0000-0000-000046040000}"/>
    <cellStyle name="Percent 2 5" xfId="929" xr:uid="{00000000-0005-0000-0000-000047040000}"/>
    <cellStyle name="Percent 2 5 2" xfId="930" xr:uid="{00000000-0005-0000-0000-000048040000}"/>
    <cellStyle name="Percent 2 6" xfId="931" xr:uid="{00000000-0005-0000-0000-000049040000}"/>
    <cellStyle name="Percent 2 6 2" xfId="932" xr:uid="{00000000-0005-0000-0000-00004A040000}"/>
    <cellStyle name="Percent 2 7" xfId="933" xr:uid="{00000000-0005-0000-0000-00004B040000}"/>
    <cellStyle name="Percent 2 8" xfId="934" xr:uid="{00000000-0005-0000-0000-00004C040000}"/>
    <cellStyle name="Percent 2 8 2" xfId="935" xr:uid="{00000000-0005-0000-0000-00004D040000}"/>
    <cellStyle name="Percent 2 9" xfId="936" xr:uid="{00000000-0005-0000-0000-00004E040000}"/>
    <cellStyle name="Percent 2 9 2" xfId="937" xr:uid="{00000000-0005-0000-0000-00004F040000}"/>
    <cellStyle name="Percent 20" xfId="938" xr:uid="{00000000-0005-0000-0000-000050040000}"/>
    <cellStyle name="Percent 21" xfId="939" xr:uid="{00000000-0005-0000-0000-000051040000}"/>
    <cellStyle name="Percent 22" xfId="940" xr:uid="{00000000-0005-0000-0000-000052040000}"/>
    <cellStyle name="Percent 23" xfId="941" xr:uid="{00000000-0005-0000-0000-000053040000}"/>
    <cellStyle name="Percent 24" xfId="942" xr:uid="{00000000-0005-0000-0000-000054040000}"/>
    <cellStyle name="Percent 25" xfId="943" xr:uid="{00000000-0005-0000-0000-000055040000}"/>
    <cellStyle name="Percent 26" xfId="944" xr:uid="{00000000-0005-0000-0000-000056040000}"/>
    <cellStyle name="Percent 27" xfId="945" xr:uid="{00000000-0005-0000-0000-000057040000}"/>
    <cellStyle name="Percent 28" xfId="946" xr:uid="{00000000-0005-0000-0000-000058040000}"/>
    <cellStyle name="Percent 29" xfId="947" xr:uid="{00000000-0005-0000-0000-000059040000}"/>
    <cellStyle name="Percent 3" xfId="948" xr:uid="{00000000-0005-0000-0000-00005A040000}"/>
    <cellStyle name="Percent 3 2" xfId="949" xr:uid="{00000000-0005-0000-0000-00005B040000}"/>
    <cellStyle name="Percent 3 3" xfId="1158" xr:uid="{00000000-0005-0000-0000-00005C040000}"/>
    <cellStyle name="Percent 30" xfId="950" xr:uid="{00000000-0005-0000-0000-00005D040000}"/>
    <cellStyle name="Percent 31" xfId="951" xr:uid="{00000000-0005-0000-0000-00005E040000}"/>
    <cellStyle name="Percent 32" xfId="952" xr:uid="{00000000-0005-0000-0000-00005F040000}"/>
    <cellStyle name="Percent 33" xfId="953" xr:uid="{00000000-0005-0000-0000-000060040000}"/>
    <cellStyle name="Percent 34" xfId="954" xr:uid="{00000000-0005-0000-0000-000061040000}"/>
    <cellStyle name="Percent 35" xfId="955" xr:uid="{00000000-0005-0000-0000-000062040000}"/>
    <cellStyle name="Percent 36" xfId="956" xr:uid="{00000000-0005-0000-0000-000063040000}"/>
    <cellStyle name="Percent 37" xfId="957" xr:uid="{00000000-0005-0000-0000-000064040000}"/>
    <cellStyle name="Percent 38" xfId="958" xr:uid="{00000000-0005-0000-0000-000065040000}"/>
    <cellStyle name="Percent 39" xfId="959" xr:uid="{00000000-0005-0000-0000-000066040000}"/>
    <cellStyle name="Percent 4" xfId="960" xr:uid="{00000000-0005-0000-0000-000067040000}"/>
    <cellStyle name="Percent 4 2" xfId="961" xr:uid="{00000000-0005-0000-0000-000068040000}"/>
    <cellStyle name="Percent 4 3" xfId="962" xr:uid="{00000000-0005-0000-0000-000069040000}"/>
    <cellStyle name="Percent 40" xfId="963" xr:uid="{00000000-0005-0000-0000-00006A040000}"/>
    <cellStyle name="Percent 41" xfId="964" xr:uid="{00000000-0005-0000-0000-00006B040000}"/>
    <cellStyle name="Percent 42" xfId="965" xr:uid="{00000000-0005-0000-0000-00006C040000}"/>
    <cellStyle name="Percent 43" xfId="966" xr:uid="{00000000-0005-0000-0000-00006D040000}"/>
    <cellStyle name="Percent 44" xfId="967" xr:uid="{00000000-0005-0000-0000-00006E040000}"/>
    <cellStyle name="Percent 45" xfId="968" xr:uid="{00000000-0005-0000-0000-00006F040000}"/>
    <cellStyle name="Percent 46" xfId="969" xr:uid="{00000000-0005-0000-0000-000070040000}"/>
    <cellStyle name="Percent 47" xfId="970" xr:uid="{00000000-0005-0000-0000-000071040000}"/>
    <cellStyle name="Percent 48" xfId="971" xr:uid="{00000000-0005-0000-0000-000072040000}"/>
    <cellStyle name="Percent 49" xfId="972" xr:uid="{00000000-0005-0000-0000-000073040000}"/>
    <cellStyle name="Percent 5" xfId="973" xr:uid="{00000000-0005-0000-0000-000074040000}"/>
    <cellStyle name="Percent 50" xfId="974" xr:uid="{00000000-0005-0000-0000-000075040000}"/>
    <cellStyle name="Percent 51" xfId="975" xr:uid="{00000000-0005-0000-0000-000076040000}"/>
    <cellStyle name="Percent 52" xfId="976" xr:uid="{00000000-0005-0000-0000-000077040000}"/>
    <cellStyle name="Percent 53" xfId="977" xr:uid="{00000000-0005-0000-0000-000078040000}"/>
    <cellStyle name="Percent 54" xfId="978" xr:uid="{00000000-0005-0000-0000-000079040000}"/>
    <cellStyle name="Percent 55" xfId="979" xr:uid="{00000000-0005-0000-0000-00007A040000}"/>
    <cellStyle name="Percent 56" xfId="980" xr:uid="{00000000-0005-0000-0000-00007B040000}"/>
    <cellStyle name="Percent 57" xfId="981" xr:uid="{00000000-0005-0000-0000-00007C040000}"/>
    <cellStyle name="Percent 58" xfId="982" xr:uid="{00000000-0005-0000-0000-00007D040000}"/>
    <cellStyle name="Percent 59" xfId="983" xr:uid="{00000000-0005-0000-0000-00007E040000}"/>
    <cellStyle name="Percent 6" xfId="984" xr:uid="{00000000-0005-0000-0000-00007F040000}"/>
    <cellStyle name="Percent 6 2" xfId="985" xr:uid="{00000000-0005-0000-0000-000080040000}"/>
    <cellStyle name="Percent 60" xfId="986" xr:uid="{00000000-0005-0000-0000-000081040000}"/>
    <cellStyle name="Percent 61" xfId="987" xr:uid="{00000000-0005-0000-0000-000082040000}"/>
    <cellStyle name="Percent 62" xfId="988" xr:uid="{00000000-0005-0000-0000-000083040000}"/>
    <cellStyle name="Percent 63" xfId="989" xr:uid="{00000000-0005-0000-0000-000084040000}"/>
    <cellStyle name="Percent 64" xfId="990" xr:uid="{00000000-0005-0000-0000-000085040000}"/>
    <cellStyle name="Percent 65" xfId="991" xr:uid="{00000000-0005-0000-0000-000086040000}"/>
    <cellStyle name="Percent 66" xfId="992" xr:uid="{00000000-0005-0000-0000-000087040000}"/>
    <cellStyle name="Percent 67" xfId="993" xr:uid="{00000000-0005-0000-0000-000088040000}"/>
    <cellStyle name="Percent 68" xfId="1055" xr:uid="{00000000-0005-0000-0000-000089040000}"/>
    <cellStyle name="Percent 69" xfId="1057" xr:uid="{00000000-0005-0000-0000-00008A040000}"/>
    <cellStyle name="Percent 7" xfId="994" xr:uid="{00000000-0005-0000-0000-00008B040000}"/>
    <cellStyle name="Percent 7 2" xfId="995" xr:uid="{00000000-0005-0000-0000-00008C040000}"/>
    <cellStyle name="Percent 70" xfId="1060" xr:uid="{00000000-0005-0000-0000-00008D040000}"/>
    <cellStyle name="Percent 71" xfId="1062" xr:uid="{00000000-0005-0000-0000-00008E040000}"/>
    <cellStyle name="Percent 72" xfId="1065" xr:uid="{00000000-0005-0000-0000-00008F040000}"/>
    <cellStyle name="Percent 73" xfId="1076" xr:uid="{00000000-0005-0000-0000-000090040000}"/>
    <cellStyle name="Percent 74" xfId="1133" xr:uid="{00000000-0005-0000-0000-000091040000}"/>
    <cellStyle name="Percent 75" xfId="1185" xr:uid="{00000000-0005-0000-0000-000092040000}"/>
    <cellStyle name="Percent 76" xfId="1174" xr:uid="{00000000-0005-0000-0000-000093040000}"/>
    <cellStyle name="Percent 77" xfId="1179" xr:uid="{00000000-0005-0000-0000-000094040000}"/>
    <cellStyle name="Percent 78" xfId="1176" xr:uid="{00000000-0005-0000-0000-000095040000}"/>
    <cellStyle name="Percent 79" xfId="1188" xr:uid="{00000000-0005-0000-0000-000096040000}"/>
    <cellStyle name="Percent 8" xfId="996" xr:uid="{00000000-0005-0000-0000-000097040000}"/>
    <cellStyle name="Percent 8 2" xfId="997" xr:uid="{00000000-0005-0000-0000-000098040000}"/>
    <cellStyle name="Percent 80" xfId="1172" xr:uid="{00000000-0005-0000-0000-000099040000}"/>
    <cellStyle name="Percent 81" xfId="1191" xr:uid="{00000000-0005-0000-0000-00009A040000}"/>
    <cellStyle name="Percent 82" xfId="1169" xr:uid="{00000000-0005-0000-0000-00009B040000}"/>
    <cellStyle name="Percent 83" xfId="1183" xr:uid="{00000000-0005-0000-0000-00009C040000}"/>
    <cellStyle name="Percent 84" xfId="1175" xr:uid="{00000000-0005-0000-0000-00009D040000}"/>
    <cellStyle name="Percent 85" xfId="1193" xr:uid="{00000000-0005-0000-0000-00009E040000}"/>
    <cellStyle name="Percent 86" xfId="1184" xr:uid="{00000000-0005-0000-0000-00009F040000}"/>
    <cellStyle name="Percent 87" xfId="1177" xr:uid="{00000000-0005-0000-0000-0000A0040000}"/>
    <cellStyle name="Percent 88" xfId="1166" xr:uid="{00000000-0005-0000-0000-0000A1040000}"/>
    <cellStyle name="Percent 89" xfId="1205" xr:uid="{00000000-0005-0000-0000-0000A2040000}"/>
    <cellStyle name="Percent 9" xfId="998" xr:uid="{00000000-0005-0000-0000-0000A3040000}"/>
    <cellStyle name="Percent 9 2" xfId="999" xr:uid="{00000000-0005-0000-0000-0000A4040000}"/>
    <cellStyle name="Percent 90" xfId="1195" xr:uid="{00000000-0005-0000-0000-0000A5040000}"/>
    <cellStyle name="Percent 91" xfId="1206" xr:uid="{00000000-0005-0000-0000-0000A6040000}"/>
    <cellStyle name="Percent 92" xfId="1154" xr:uid="{00000000-0005-0000-0000-0000A7040000}"/>
    <cellStyle name="Percent 93" xfId="1208" xr:uid="{00000000-0005-0000-0000-0000A8040000}"/>
    <cellStyle name="Percent 94" xfId="1199" xr:uid="{00000000-0005-0000-0000-0000A9040000}"/>
    <cellStyle name="Percent 95" xfId="1170" xr:uid="{00000000-0005-0000-0000-0000AA040000}"/>
    <cellStyle name="Percent 96" xfId="1207" xr:uid="{00000000-0005-0000-0000-0000AB040000}"/>
    <cellStyle name="Percent 97" xfId="1211" xr:uid="{00000000-0005-0000-0000-0000AC040000}"/>
    <cellStyle name="Percent 98" xfId="1213" xr:uid="{00000000-0005-0000-0000-0000AD040000}"/>
    <cellStyle name="Percent 99" xfId="1232" xr:uid="{00000000-0005-0000-0000-0000AE040000}"/>
    <cellStyle name="Price" xfId="1140" xr:uid="{00000000-0005-0000-0000-0000AF040000}"/>
    <cellStyle name="PSChar" xfId="1000" xr:uid="{00000000-0005-0000-0000-0000B0040000}"/>
    <cellStyle name="Range Header" xfId="1001" xr:uid="{00000000-0005-0000-0000-0000B1040000}"/>
    <cellStyle name="Range Header 10" xfId="1002" xr:uid="{00000000-0005-0000-0000-0000B2040000}"/>
    <cellStyle name="Range Header 11" xfId="1003" xr:uid="{00000000-0005-0000-0000-0000B3040000}"/>
    <cellStyle name="Range Header 2" xfId="1004" xr:uid="{00000000-0005-0000-0000-0000B4040000}"/>
    <cellStyle name="Range Header 2 2" xfId="1005" xr:uid="{00000000-0005-0000-0000-0000B5040000}"/>
    <cellStyle name="Range Header 2 3" xfId="1006" xr:uid="{00000000-0005-0000-0000-0000B6040000}"/>
    <cellStyle name="Range Header 2 4" xfId="1007" xr:uid="{00000000-0005-0000-0000-0000B7040000}"/>
    <cellStyle name="Range Header 2 5" xfId="1008" xr:uid="{00000000-0005-0000-0000-0000B8040000}"/>
    <cellStyle name="Range Header 2_LTCP" xfId="1009" xr:uid="{00000000-0005-0000-0000-0000B9040000}"/>
    <cellStyle name="Range Header 3" xfId="1010" xr:uid="{00000000-0005-0000-0000-0000BA040000}"/>
    <cellStyle name="Range Header 4" xfId="1011" xr:uid="{00000000-0005-0000-0000-0000BB040000}"/>
    <cellStyle name="Range Header 5" xfId="1012" xr:uid="{00000000-0005-0000-0000-0000BC040000}"/>
    <cellStyle name="Range Header 6" xfId="1013" xr:uid="{00000000-0005-0000-0000-0000BD040000}"/>
    <cellStyle name="Range Header 7" xfId="1014" xr:uid="{00000000-0005-0000-0000-0000BE040000}"/>
    <cellStyle name="Range Header 8" xfId="1015" xr:uid="{00000000-0005-0000-0000-0000BF040000}"/>
    <cellStyle name="Range Header 9" xfId="1016" xr:uid="{00000000-0005-0000-0000-0000C0040000}"/>
    <cellStyle name="Range Header_Bill Compare" xfId="1017" xr:uid="{00000000-0005-0000-0000-0000C1040000}"/>
    <cellStyle name="Rate" xfId="1141" xr:uid="{00000000-0005-0000-0000-0000C2040000}"/>
    <cellStyle name="Reference" xfId="1018" xr:uid="{00000000-0005-0000-0000-0000C3040000}"/>
    <cellStyle name="Reference 2" xfId="1142" xr:uid="{00000000-0005-0000-0000-0000C4040000}"/>
    <cellStyle name="Reference 3" xfId="1233" xr:uid="{00000000-0005-0000-0000-0000C5040000}"/>
    <cellStyle name="Report" xfId="1019" xr:uid="{00000000-0005-0000-0000-0000C6040000}"/>
    <cellStyle name="Report - Style5" xfId="1020" xr:uid="{00000000-0005-0000-0000-0000C7040000}"/>
    <cellStyle name="Report - Style6" xfId="1021" xr:uid="{00000000-0005-0000-0000-0000C8040000}"/>
    <cellStyle name="Report - Style7" xfId="1022" xr:uid="{00000000-0005-0000-0000-0000C9040000}"/>
    <cellStyle name="Report - Style8" xfId="1023" xr:uid="{00000000-0005-0000-0000-0000CA040000}"/>
    <cellStyle name="Report Bar" xfId="1024" xr:uid="{00000000-0005-0000-0000-0000CB040000}"/>
    <cellStyle name="Report Heading" xfId="1025" xr:uid="{00000000-0005-0000-0000-0000CC040000}"/>
    <cellStyle name="Report Unit Cost" xfId="1026" xr:uid="{00000000-0005-0000-0000-0000CD040000}"/>
    <cellStyle name="Report_BPUB 2011 Rate Design_March 2011 (FA) (3)" xfId="1027" xr:uid="{00000000-0005-0000-0000-0000CE040000}"/>
    <cellStyle name="Reports Total" xfId="1028" xr:uid="{00000000-0005-0000-0000-0000CF040000}"/>
    <cellStyle name="Result" xfId="1143" xr:uid="{00000000-0005-0000-0000-0000D0040000}"/>
    <cellStyle name="REVISED" xfId="1029" xr:uid="{00000000-0005-0000-0000-0000D1040000}"/>
    <cellStyle name="REVISED 2" xfId="1030" xr:uid="{00000000-0005-0000-0000-0000D2040000}"/>
    <cellStyle name="REVISED 3" xfId="1234" xr:uid="{00000000-0005-0000-0000-0000D3040000}"/>
    <cellStyle name="SectionBreak" xfId="1144" xr:uid="{00000000-0005-0000-0000-0000D4040000}"/>
    <cellStyle name="StmtTtl1" xfId="1031" xr:uid="{00000000-0005-0000-0000-0000D5040000}"/>
    <cellStyle name="StmtTtl2" xfId="1032" xr:uid="{00000000-0005-0000-0000-0000D6040000}"/>
    <cellStyle name="Style 1" xfId="1033" xr:uid="{00000000-0005-0000-0000-0000D7040000}"/>
    <cellStyle name="Test" xfId="1034" xr:uid="{00000000-0005-0000-0000-0000D8040000}"/>
    <cellStyle name="Text" xfId="1145" xr:uid="{00000000-0005-0000-0000-0000D9040000}"/>
    <cellStyle name="Thousands" xfId="1146" xr:uid="{00000000-0005-0000-0000-0000DA040000}"/>
    <cellStyle name="Title 2" xfId="1035" xr:uid="{00000000-0005-0000-0000-0000DB040000}"/>
    <cellStyle name="Title 2 2" xfId="1147" xr:uid="{00000000-0005-0000-0000-0000DC040000}"/>
    <cellStyle name="Title 3" xfId="1036" xr:uid="{00000000-0005-0000-0000-0000DD040000}"/>
    <cellStyle name="Title 4" xfId="1037" xr:uid="{00000000-0005-0000-0000-0000DE040000}"/>
    <cellStyle name="Title: - Style3" xfId="1038" xr:uid="{00000000-0005-0000-0000-0000DF040000}"/>
    <cellStyle name="Title: - Style4" xfId="1039" xr:uid="{00000000-0005-0000-0000-0000E0040000}"/>
    <cellStyle name="Title: Major" xfId="1040" xr:uid="{00000000-0005-0000-0000-0000E1040000}"/>
    <cellStyle name="Title: Minor" xfId="1041" xr:uid="{00000000-0005-0000-0000-0000E2040000}"/>
    <cellStyle name="Title: Worksheet" xfId="1042" xr:uid="{00000000-0005-0000-0000-0000E3040000}"/>
    <cellStyle name="Titles" xfId="5" xr:uid="{00000000-0005-0000-0000-0000E4040000}"/>
    <cellStyle name="Total 2" xfId="1043" xr:uid="{00000000-0005-0000-0000-0000E5040000}"/>
    <cellStyle name="Total 2 2" xfId="1148" xr:uid="{00000000-0005-0000-0000-0000E6040000}"/>
    <cellStyle name="Total 3" xfId="1044" xr:uid="{00000000-0005-0000-0000-0000E7040000}"/>
    <cellStyle name="Unprotected" xfId="1045" xr:uid="{00000000-0005-0000-0000-0000E8040000}"/>
    <cellStyle name="Version" xfId="1046" xr:uid="{00000000-0005-0000-0000-0000E9040000}"/>
    <cellStyle name="Warning Text 2" xfId="1047" xr:uid="{00000000-0005-0000-0000-0000EA040000}"/>
    <cellStyle name="Warning Text 3" xfId="1048" xr:uid="{00000000-0005-0000-0000-0000EB040000}"/>
    <cellStyle name="Years" xfId="1149" xr:uid="{00000000-0005-0000-0000-0000EC040000}"/>
    <cellStyle name="Yes/No Switch" xfId="1150" xr:uid="{00000000-0005-0000-0000-0000ED040000}"/>
  </cellStyles>
  <dxfs count="4"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sz val="9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Light1 2" pivot="0" table="0" count="2" xr9:uid="{00000000-0011-0000-FFFF-FFFF00000000}">
      <tableStyleElement type="wholeTable" dxfId="3"/>
      <tableStyleElement type="headerRow" dxfId="2"/>
    </tableStyle>
    <tableStyle name="SlicerStyleLight1 3" pivot="0" table="0" count="2" xr9:uid="{00000000-0011-0000-FFFF-FFFF01000000}">
      <tableStyleElement type="wholeTable" dxfId="1"/>
      <tableStyleElement type="headerRow" dxfId="0"/>
    </tableStyle>
  </tableStyles>
  <colors>
    <mruColors>
      <color rgb="FFFFFF99"/>
      <color rgb="FFFFFFCC"/>
      <color rgb="FFF2F2F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"/>
  <sheetViews>
    <sheetView workbookViewId="0">
      <selection activeCell="I21" sqref="I21"/>
    </sheetView>
  </sheetViews>
  <sheetFormatPr defaultRowHeight="15"/>
  <cols>
    <col min="1" max="1" width="10.5703125" customWidth="1"/>
    <col min="2" max="2" width="30.5703125" customWidth="1"/>
    <col min="3" max="9" width="12.5703125" customWidth="1"/>
    <col min="10" max="12" width="12.5703125" hidden="1" customWidth="1"/>
    <col min="13" max="13" width="12.5703125" customWidth="1"/>
    <col min="14" max="22" width="12.7109375" customWidth="1"/>
  </cols>
  <sheetData>
    <row r="1" spans="1:21" ht="19.5" thickTop="1">
      <c r="A1" s="9" t="s">
        <v>0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#1 - SMIP/GARP Funding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/>
    <row r="3" spans="1:21" ht="18" thickTop="1">
      <c r="A3" s="51" t="s">
        <v>1</v>
      </c>
      <c r="B3" s="56" t="s">
        <v>2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  <c r="N4" t="s">
        <v>4</v>
      </c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  <c r="N5" t="s">
        <v>6</v>
      </c>
    </row>
    <row r="6" spans="1:21">
      <c r="A6" s="55">
        <v>1</v>
      </c>
      <c r="B6" s="14" t="s">
        <v>7</v>
      </c>
      <c r="C6" s="113"/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</row>
    <row r="7" spans="1:21">
      <c r="A7" s="53"/>
      <c r="B7" s="29"/>
      <c r="C7" s="40"/>
      <c r="D7" s="40"/>
      <c r="E7" s="40"/>
      <c r="F7" s="40"/>
      <c r="G7" s="40"/>
      <c r="H7" s="40"/>
      <c r="I7" s="40"/>
    </row>
    <row r="8" spans="1:21" ht="15.75">
      <c r="A8" s="100"/>
      <c r="B8" s="101" t="s">
        <v>8</v>
      </c>
      <c r="C8" s="101"/>
      <c r="D8" s="101"/>
      <c r="E8" s="102"/>
      <c r="F8" s="102"/>
      <c r="G8" s="102"/>
      <c r="H8" s="101"/>
      <c r="I8" s="101"/>
    </row>
    <row r="9" spans="1:21" ht="15.75">
      <c r="A9" s="7"/>
      <c r="B9" s="28" t="s">
        <v>9</v>
      </c>
      <c r="C9" s="28"/>
      <c r="D9" s="28"/>
      <c r="E9" s="28"/>
      <c r="F9" s="28"/>
      <c r="G9" s="28"/>
      <c r="H9" s="28"/>
      <c r="I9" s="28"/>
    </row>
    <row r="10" spans="1:21">
      <c r="A10" s="55">
        <f>MAX(A$6:A9)+1</f>
        <v>2</v>
      </c>
      <c r="B10" s="25" t="s">
        <v>10</v>
      </c>
      <c r="C10" s="14"/>
      <c r="D10" s="6">
        <v>0</v>
      </c>
      <c r="E10" s="6">
        <f>-5000000</f>
        <v>-5000000</v>
      </c>
      <c r="F10" s="6">
        <f>-5000000</f>
        <v>-5000000</v>
      </c>
      <c r="G10" s="6">
        <f t="shared" ref="G10:I10" si="2">10000000*0</f>
        <v>0</v>
      </c>
      <c r="H10" s="6">
        <f t="shared" si="2"/>
        <v>0</v>
      </c>
      <c r="I10" s="6">
        <f t="shared" si="2"/>
        <v>0</v>
      </c>
      <c r="N10" s="5">
        <v>1</v>
      </c>
      <c r="P10" s="114">
        <f t="shared" ref="P10:U10" si="3">+D10*$N10</f>
        <v>0</v>
      </c>
      <c r="Q10" s="114">
        <f t="shared" si="3"/>
        <v>-5000000</v>
      </c>
      <c r="R10" s="114">
        <f t="shared" si="3"/>
        <v>-5000000</v>
      </c>
      <c r="S10" s="114">
        <f t="shared" si="3"/>
        <v>0</v>
      </c>
      <c r="T10" s="114">
        <f t="shared" si="3"/>
        <v>0</v>
      </c>
      <c r="U10" s="114">
        <f t="shared" si="3"/>
        <v>0</v>
      </c>
    </row>
    <row r="11" spans="1:21">
      <c r="A11" s="53"/>
      <c r="B11" s="29"/>
      <c r="C11" s="40"/>
      <c r="D11" s="40"/>
      <c r="E11" s="40"/>
      <c r="F11" s="40"/>
      <c r="G11" s="40"/>
      <c r="H11" s="40"/>
      <c r="I11" s="40"/>
    </row>
    <row r="12" spans="1:21" s="4" customFormat="1">
      <c r="A12" s="54">
        <f>MAX(A$6:A11)+1</f>
        <v>3</v>
      </c>
      <c r="B12" s="26" t="s">
        <v>11</v>
      </c>
      <c r="C12" s="30">
        <f t="shared" ref="C12:H12" si="4">+C10</f>
        <v>0</v>
      </c>
      <c r="D12" s="30">
        <f t="shared" si="4"/>
        <v>0</v>
      </c>
      <c r="E12" s="30">
        <f t="shared" si="4"/>
        <v>-5000000</v>
      </c>
      <c r="F12" s="30">
        <f t="shared" si="4"/>
        <v>-5000000</v>
      </c>
      <c r="G12" s="30">
        <f t="shared" si="4"/>
        <v>0</v>
      </c>
      <c r="H12" s="30">
        <f t="shared" si="4"/>
        <v>0</v>
      </c>
      <c r="I12" s="30">
        <f t="shared" ref="I12" si="5">+I10</f>
        <v>0</v>
      </c>
      <c r="N12"/>
      <c r="O12" s="30">
        <f t="shared" ref="O12:T12" si="6">+O10</f>
        <v>0</v>
      </c>
      <c r="P12" s="30">
        <f t="shared" si="6"/>
        <v>0</v>
      </c>
      <c r="Q12" s="30">
        <f t="shared" si="6"/>
        <v>-5000000</v>
      </c>
      <c r="R12" s="30">
        <f t="shared" si="6"/>
        <v>-5000000</v>
      </c>
      <c r="S12" s="30">
        <f t="shared" si="6"/>
        <v>0</v>
      </c>
      <c r="T12" s="30">
        <f t="shared" si="6"/>
        <v>0</v>
      </c>
      <c r="U12" s="30">
        <f t="shared" ref="U12" si="7">+U10</f>
        <v>0</v>
      </c>
    </row>
    <row r="13" spans="1:21">
      <c r="A13" s="53"/>
      <c r="B13" s="29"/>
      <c r="C13" s="40"/>
      <c r="D13" s="40"/>
      <c r="E13" s="40"/>
      <c r="F13" s="40"/>
      <c r="G13" s="40"/>
      <c r="H13" s="40"/>
      <c r="I13" s="40"/>
    </row>
    <row r="14" spans="1:21" ht="15.75">
      <c r="A14" s="8"/>
      <c r="B14" s="28"/>
      <c r="C14" s="28"/>
      <c r="D14" s="28"/>
      <c r="E14" s="28"/>
      <c r="F14" s="28"/>
      <c r="G14" s="28"/>
      <c r="H14" s="28"/>
      <c r="I14" s="28"/>
    </row>
    <row r="16" spans="1:21">
      <c r="A16" s="41" t="s">
        <v>12</v>
      </c>
      <c r="B16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7"/>
  <sheetViews>
    <sheetView zoomScale="98" zoomScaleNormal="98" workbookViewId="0"/>
  </sheetViews>
  <sheetFormatPr defaultRowHeight="15"/>
  <cols>
    <col min="1" max="1" width="9.140625" style="41"/>
    <col min="2" max="2" width="28.85546875" bestFit="1" customWidth="1"/>
    <col min="3" max="7" width="15.42578125" bestFit="1" customWidth="1"/>
    <col min="8" max="9" width="15.85546875" bestFit="1" customWidth="1"/>
    <col min="10" max="10" width="12.5703125" hidden="1" customWidth="1"/>
    <col min="11" max="17" width="12.5703125" bestFit="1" customWidth="1"/>
    <col min="18" max="21" width="14" customWidth="1"/>
  </cols>
  <sheetData>
    <row r="1" spans="1:21" ht="19.5" thickTop="1">
      <c r="A1" s="61" t="s">
        <v>119</v>
      </c>
      <c r="B1" s="9"/>
      <c r="C1" s="9"/>
      <c r="D1" s="9"/>
      <c r="E1" s="9"/>
      <c r="F1" s="9"/>
      <c r="G1" s="9"/>
      <c r="H1" s="9"/>
      <c r="I1" s="9"/>
      <c r="K1" s="162" t="s">
        <v>93</v>
      </c>
      <c r="N1" s="9" t="str">
        <f>A1 &amp;" Application of Actual to Budget Factor"</f>
        <v>O&amp;M Adjustment #10 - XXXXXXXXXXXX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N2" t="s">
        <v>4</v>
      </c>
    </row>
    <row r="3" spans="1:21" ht="18" thickTop="1">
      <c r="A3" s="51" t="s">
        <v>120</v>
      </c>
      <c r="B3" s="56" t="s">
        <v>37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6">
        <v>1</v>
      </c>
      <c r="B6" s="14" t="s">
        <v>16</v>
      </c>
      <c r="C6" s="14"/>
      <c r="D6" s="5">
        <v>0</v>
      </c>
      <c r="E6" s="5">
        <v>3.2500000000000001E-2</v>
      </c>
      <c r="F6" s="5">
        <v>0.03</v>
      </c>
      <c r="G6" s="5">
        <v>0.03</v>
      </c>
      <c r="H6" s="5">
        <v>0.03</v>
      </c>
      <c r="I6" s="5">
        <v>0.03</v>
      </c>
    </row>
    <row r="7" spans="1:21">
      <c r="A7" s="48">
        <f>MAX(A$6:A6)+1</f>
        <v>2</v>
      </c>
      <c r="B7" s="21" t="s">
        <v>33</v>
      </c>
      <c r="C7" s="21"/>
      <c r="D7" s="5">
        <v>0</v>
      </c>
      <c r="E7" s="5">
        <v>7.7700000000000005E-2</v>
      </c>
      <c r="F7" s="5">
        <v>6.7000000000000004E-2</v>
      </c>
      <c r="G7" s="5">
        <v>4.6899999999999997E-2</v>
      </c>
      <c r="H7" s="5">
        <v>4.6899999999999997E-2</v>
      </c>
      <c r="I7" s="5">
        <v>4.6899999999999997E-2</v>
      </c>
    </row>
    <row r="8" spans="1:21">
      <c r="A8" s="46">
        <f>MAX(A$6:A7)+1</f>
        <v>3</v>
      </c>
      <c r="B8" s="14" t="s">
        <v>51</v>
      </c>
      <c r="C8" s="14"/>
      <c r="D8" s="5">
        <v>0</v>
      </c>
      <c r="E8" s="5">
        <v>7.7700000000000005E-2</v>
      </c>
      <c r="F8" s="5">
        <v>6.7000000000000004E-2</v>
      </c>
      <c r="G8" s="5">
        <v>4.6899999999999997E-2</v>
      </c>
      <c r="H8" s="5">
        <v>4.6899999999999997E-2</v>
      </c>
      <c r="I8" s="5">
        <v>4.6899999999999997E-2</v>
      </c>
    </row>
    <row r="9" spans="1:21">
      <c r="A9" s="48">
        <f>MAX(A$6:A8)+1</f>
        <v>4</v>
      </c>
      <c r="B9" s="21" t="s">
        <v>45</v>
      </c>
      <c r="C9" s="21"/>
      <c r="D9" s="5">
        <v>0</v>
      </c>
      <c r="E9" s="5">
        <v>0.1012</v>
      </c>
      <c r="F9" s="5">
        <v>9.4100000000000003E-2</v>
      </c>
      <c r="G9" s="5">
        <v>6.6299999999999998E-2</v>
      </c>
      <c r="H9" s="5">
        <v>6.6299999999999998E-2</v>
      </c>
      <c r="I9" s="5">
        <v>6.6299999999999998E-2</v>
      </c>
    </row>
    <row r="10" spans="1:21">
      <c r="A10" s="46">
        <f>MAX(A$6:A9)+1</f>
        <v>5</v>
      </c>
      <c r="B10" s="14" t="s">
        <v>121</v>
      </c>
      <c r="C10" s="14"/>
      <c r="D10" s="71">
        <v>0</v>
      </c>
      <c r="E10" s="71">
        <f>+(1+D6)*(1+E6)-1</f>
        <v>3.2499999999999973E-2</v>
      </c>
      <c r="F10" s="71">
        <f>+(1+D6)*(1+E6)*(1+F6)-1</f>
        <v>6.3474999999999948E-2</v>
      </c>
      <c r="G10" s="71">
        <f>+(1+D6)*(1+E6)*(1+F6)*(1+G6)-1</f>
        <v>9.5379249999999915E-2</v>
      </c>
      <c r="H10" s="71">
        <f>+(1+D6)*(1+E6)*(1+F6)*(1+G6)*(1+H6)-1</f>
        <v>0.12824062749999987</v>
      </c>
      <c r="I10" s="71">
        <f>+(1+D6)*(1+E6)*(1+F6)*(1+G6)*(1+H6)*(1+I6)-1</f>
        <v>0.16208784632499995</v>
      </c>
    </row>
    <row r="11" spans="1:21">
      <c r="A11" s="48">
        <f>MAX(A$6:A10)+1</f>
        <v>6</v>
      </c>
      <c r="B11" s="21" t="s">
        <v>122</v>
      </c>
      <c r="C11" s="21"/>
      <c r="D11" s="143">
        <v>0</v>
      </c>
      <c r="E11" s="143">
        <f t="shared" ref="E11:E13" si="2">+(1+D7)*(1+E7)-1</f>
        <v>7.7700000000000102E-2</v>
      </c>
      <c r="F11" s="143">
        <f t="shared" ref="F11:F13" si="3">+(1+D7)*(1+E7)*(1+F7)-1</f>
        <v>0.14990590000000004</v>
      </c>
      <c r="G11" s="143">
        <f t="shared" ref="G11:G13" si="4">+(1+D7)*(1+E7)*(1+F7)*(1+G7)-1</f>
        <v>0.20383648670999999</v>
      </c>
      <c r="H11" s="143">
        <f t="shared" ref="H11:H13" si="5">+(1+D7)*(1+E7)*(1+F7)*(1+G7)*(1+H7)-1</f>
        <v>0.26029641793669889</v>
      </c>
      <c r="I11" s="143">
        <f t="shared" ref="I11:I13" si="6">+(1+D7)*(1+E7)*(1+F7)*(1+G7)*(1+H7)*(1+I7)-1</f>
        <v>0.31940431993792995</v>
      </c>
    </row>
    <row r="12" spans="1:21">
      <c r="A12" s="46">
        <f>MAX(A$6:A11)+1</f>
        <v>7</v>
      </c>
      <c r="B12" s="14" t="s">
        <v>123</v>
      </c>
      <c r="C12" s="14"/>
      <c r="D12" s="47">
        <v>0</v>
      </c>
      <c r="E12" s="47">
        <f t="shared" si="2"/>
        <v>7.7700000000000102E-2</v>
      </c>
      <c r="F12" s="47">
        <f t="shared" si="3"/>
        <v>0.14990590000000004</v>
      </c>
      <c r="G12" s="47">
        <f t="shared" si="4"/>
        <v>0.20383648670999999</v>
      </c>
      <c r="H12" s="47">
        <f t="shared" si="5"/>
        <v>0.26029641793669889</v>
      </c>
      <c r="I12" s="47">
        <f t="shared" si="6"/>
        <v>0.31940431993792995</v>
      </c>
    </row>
    <row r="13" spans="1:21">
      <c r="A13" s="48">
        <f>MAX(A$6:A12)+1</f>
        <v>8</v>
      </c>
      <c r="B13" s="21" t="s">
        <v>124</v>
      </c>
      <c r="C13" s="21"/>
      <c r="D13" s="143">
        <v>0</v>
      </c>
      <c r="E13" s="143">
        <f t="shared" si="2"/>
        <v>0.10119999999999996</v>
      </c>
      <c r="F13" s="143">
        <f t="shared" si="3"/>
        <v>0.20482292000000002</v>
      </c>
      <c r="G13" s="143">
        <f t="shared" si="4"/>
        <v>0.28470267959600015</v>
      </c>
      <c r="H13" s="143">
        <f t="shared" si="5"/>
        <v>0.36987846725321494</v>
      </c>
      <c r="I13" s="143">
        <f t="shared" si="6"/>
        <v>0.46070140963210315</v>
      </c>
    </row>
    <row r="14" spans="1:21">
      <c r="A14" s="46"/>
      <c r="B14" s="14"/>
      <c r="C14" s="14"/>
      <c r="D14" s="14"/>
      <c r="E14" s="47"/>
      <c r="F14" s="47"/>
      <c r="G14" s="47"/>
      <c r="H14" s="47"/>
      <c r="I14" s="47"/>
    </row>
    <row r="15" spans="1:21" ht="15.75">
      <c r="A15" s="100"/>
      <c r="B15" s="101" t="s">
        <v>8</v>
      </c>
      <c r="C15" s="101"/>
      <c r="D15" s="101"/>
      <c r="E15" s="102"/>
      <c r="F15" s="102"/>
      <c r="G15" s="102"/>
      <c r="H15" s="101"/>
      <c r="I15" s="101"/>
    </row>
    <row r="16" spans="1:21" ht="15.75">
      <c r="A16" s="8"/>
      <c r="B16" s="28"/>
      <c r="C16" s="28"/>
      <c r="D16" s="28"/>
      <c r="E16" s="28"/>
      <c r="F16" s="28"/>
      <c r="G16" s="28"/>
      <c r="H16" s="28"/>
      <c r="I16" s="28"/>
    </row>
    <row r="17" spans="1:21">
      <c r="A17" s="46"/>
      <c r="B17" s="25" t="s">
        <v>37</v>
      </c>
      <c r="C17" s="14"/>
      <c r="D17" s="14"/>
      <c r="E17" s="14"/>
      <c r="F17" s="14"/>
      <c r="G17" s="14"/>
      <c r="H17" s="14"/>
      <c r="I17" s="14"/>
    </row>
    <row r="18" spans="1:21">
      <c r="A18" s="44">
        <f>MAX(A$6:A17)+1</f>
        <v>9</v>
      </c>
      <c r="B18" s="69" t="s">
        <v>24</v>
      </c>
      <c r="C18" s="16"/>
      <c r="D18" s="144"/>
      <c r="E18" s="17"/>
      <c r="F18" s="17"/>
      <c r="G18" s="17"/>
      <c r="H18" s="17"/>
      <c r="I18" s="17"/>
    </row>
    <row r="19" spans="1:21" ht="16.5" customHeight="1">
      <c r="A19" s="46">
        <f>MAX(A$6:A18)+1</f>
        <v>10</v>
      </c>
      <c r="B19" s="70" t="s">
        <v>125</v>
      </c>
      <c r="C19" s="14"/>
      <c r="D19" s="144"/>
      <c r="E19" s="15"/>
      <c r="F19" s="15"/>
      <c r="G19" s="15"/>
      <c r="H19" s="15"/>
      <c r="I19" s="15"/>
    </row>
    <row r="20" spans="1:21">
      <c r="A20" s="44">
        <f>MAX(A$6:A19)+1</f>
        <v>11</v>
      </c>
      <c r="B20" s="69" t="s">
        <v>126</v>
      </c>
      <c r="C20" s="16"/>
      <c r="D20" s="144"/>
      <c r="E20" s="17"/>
      <c r="F20" s="17"/>
      <c r="G20" s="17"/>
      <c r="H20" s="17"/>
      <c r="I20" s="17"/>
    </row>
    <row r="21" spans="1:21">
      <c r="A21" s="46">
        <f>MAX(A$6:A20)+1</f>
        <v>12</v>
      </c>
      <c r="B21" s="70" t="s">
        <v>127</v>
      </c>
      <c r="C21" s="14"/>
      <c r="D21" s="144"/>
      <c r="E21" s="15"/>
      <c r="F21" s="15"/>
      <c r="G21" s="15"/>
      <c r="H21" s="15"/>
      <c r="I21" s="15"/>
    </row>
    <row r="22" spans="1:21">
      <c r="A22" s="53"/>
      <c r="B22" s="29"/>
      <c r="C22" s="40"/>
      <c r="D22" s="40"/>
      <c r="E22" s="40"/>
      <c r="F22" s="40"/>
      <c r="G22" s="40"/>
      <c r="H22" s="40"/>
      <c r="I22" s="40"/>
    </row>
    <row r="23" spans="1:21" s="4" customFormat="1">
      <c r="A23" s="54">
        <f>MAX(A$6:A22)+1</f>
        <v>13</v>
      </c>
      <c r="B23" s="26" t="s">
        <v>128</v>
      </c>
      <c r="C23" s="30"/>
      <c r="D23" s="30">
        <f t="shared" ref="D23:I23" si="7">SUM(D18:D22)</f>
        <v>0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</row>
    <row r="24" spans="1:21">
      <c r="A24" s="53"/>
      <c r="B24" s="29"/>
      <c r="C24" s="40"/>
      <c r="D24" s="40"/>
      <c r="E24" s="40"/>
      <c r="F24" s="40"/>
      <c r="G24" s="40"/>
      <c r="H24" s="40"/>
      <c r="I24" s="40"/>
    </row>
    <row r="25" spans="1:21" ht="15.75">
      <c r="A25" s="8"/>
      <c r="B25" s="28"/>
      <c r="C25" s="28"/>
      <c r="D25" s="28"/>
      <c r="E25" s="28"/>
      <c r="F25" s="28"/>
      <c r="G25" s="28"/>
      <c r="H25" s="28"/>
      <c r="I25" s="28"/>
    </row>
    <row r="26" spans="1:21">
      <c r="A26" s="46"/>
      <c r="B26" s="14" t="s">
        <v>55</v>
      </c>
      <c r="C26" s="14"/>
      <c r="D26" s="11"/>
      <c r="E26" s="11"/>
      <c r="F26" s="11"/>
      <c r="G26" s="11"/>
      <c r="H26" s="11"/>
      <c r="I26" s="11"/>
    </row>
    <row r="27" spans="1:21">
      <c r="A27" s="44">
        <f>MAX(A$6:A26)+1</f>
        <v>14</v>
      </c>
      <c r="B27" s="116" t="s">
        <v>24</v>
      </c>
      <c r="C27" s="16"/>
      <c r="D27" s="145">
        <f>+D18*(1+D$10)</f>
        <v>0</v>
      </c>
      <c r="E27" s="145">
        <f t="shared" ref="E27:I27" si="8">+E18*(1+E$10)</f>
        <v>0</v>
      </c>
      <c r="F27" s="145">
        <f t="shared" si="8"/>
        <v>0</v>
      </c>
      <c r="G27" s="145">
        <f t="shared" si="8"/>
        <v>0</v>
      </c>
      <c r="H27" s="145">
        <f t="shared" si="8"/>
        <v>0</v>
      </c>
      <c r="I27" s="145">
        <f t="shared" si="8"/>
        <v>0</v>
      </c>
      <c r="N27" s="5">
        <v>1</v>
      </c>
      <c r="O27" s="114">
        <f t="shared" ref="O27:U30" si="9">+C27*$N27</f>
        <v>0</v>
      </c>
      <c r="P27" s="114">
        <f t="shared" si="9"/>
        <v>0</v>
      </c>
      <c r="Q27" s="114">
        <f t="shared" si="9"/>
        <v>0</v>
      </c>
      <c r="R27" s="114">
        <f t="shared" si="9"/>
        <v>0</v>
      </c>
      <c r="S27" s="114">
        <f t="shared" si="9"/>
        <v>0</v>
      </c>
      <c r="T27" s="114">
        <f t="shared" si="9"/>
        <v>0</v>
      </c>
      <c r="U27" s="114">
        <f t="shared" si="9"/>
        <v>0</v>
      </c>
    </row>
    <row r="28" spans="1:21">
      <c r="A28" s="46">
        <f>MAX(A$6:A27)+1</f>
        <v>15</v>
      </c>
      <c r="B28" s="14" t="s">
        <v>125</v>
      </c>
      <c r="C28" s="14"/>
      <c r="D28" s="11">
        <f t="shared" ref="D28:I30" si="10">+D19*(1+D$10)</f>
        <v>0</v>
      </c>
      <c r="E28" s="11">
        <f t="shared" si="10"/>
        <v>0</v>
      </c>
      <c r="F28" s="11">
        <f t="shared" si="10"/>
        <v>0</v>
      </c>
      <c r="G28" s="11">
        <f t="shared" si="10"/>
        <v>0</v>
      </c>
      <c r="H28" s="11">
        <f t="shared" si="10"/>
        <v>0</v>
      </c>
      <c r="I28" s="11">
        <f t="shared" si="10"/>
        <v>0</v>
      </c>
      <c r="N28" s="5">
        <v>1</v>
      </c>
      <c r="O28" s="114">
        <f t="shared" si="9"/>
        <v>0</v>
      </c>
      <c r="P28" s="114">
        <f t="shared" si="9"/>
        <v>0</v>
      </c>
      <c r="Q28" s="114">
        <f t="shared" si="9"/>
        <v>0</v>
      </c>
      <c r="R28" s="114">
        <f t="shared" si="9"/>
        <v>0</v>
      </c>
      <c r="S28" s="114">
        <f t="shared" si="9"/>
        <v>0</v>
      </c>
      <c r="T28" s="114">
        <f t="shared" si="9"/>
        <v>0</v>
      </c>
      <c r="U28" s="114">
        <f t="shared" si="9"/>
        <v>0</v>
      </c>
    </row>
    <row r="29" spans="1:21">
      <c r="A29" s="44">
        <f>MAX(A$6:A28)+1</f>
        <v>16</v>
      </c>
      <c r="B29" s="116" t="s">
        <v>126</v>
      </c>
      <c r="C29" s="16"/>
      <c r="D29" s="145">
        <f t="shared" si="10"/>
        <v>0</v>
      </c>
      <c r="E29" s="145">
        <f t="shared" si="10"/>
        <v>0</v>
      </c>
      <c r="F29" s="145">
        <f t="shared" si="10"/>
        <v>0</v>
      </c>
      <c r="G29" s="145">
        <f t="shared" si="10"/>
        <v>0</v>
      </c>
      <c r="H29" s="145">
        <f t="shared" si="10"/>
        <v>0</v>
      </c>
      <c r="I29" s="145">
        <f t="shared" si="10"/>
        <v>0</v>
      </c>
      <c r="N29" s="5">
        <v>1</v>
      </c>
      <c r="O29" s="114">
        <f t="shared" si="9"/>
        <v>0</v>
      </c>
      <c r="P29" s="114">
        <f t="shared" si="9"/>
        <v>0</v>
      </c>
      <c r="Q29" s="114">
        <f t="shared" si="9"/>
        <v>0</v>
      </c>
      <c r="R29" s="114">
        <f t="shared" si="9"/>
        <v>0</v>
      </c>
      <c r="S29" s="114">
        <f t="shared" si="9"/>
        <v>0</v>
      </c>
      <c r="T29" s="114">
        <f t="shared" si="9"/>
        <v>0</v>
      </c>
      <c r="U29" s="114">
        <f t="shared" si="9"/>
        <v>0</v>
      </c>
    </row>
    <row r="30" spans="1:21">
      <c r="A30" s="46">
        <f>MAX(A$6:A29)+1</f>
        <v>17</v>
      </c>
      <c r="B30" s="14" t="s">
        <v>127</v>
      </c>
      <c r="C30" s="14"/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N30" s="5">
        <v>1</v>
      </c>
      <c r="O30" s="114">
        <f t="shared" si="9"/>
        <v>0</v>
      </c>
      <c r="P30" s="114">
        <f t="shared" si="9"/>
        <v>0</v>
      </c>
      <c r="Q30" s="114">
        <f t="shared" si="9"/>
        <v>0</v>
      </c>
      <c r="R30" s="114">
        <f t="shared" si="9"/>
        <v>0</v>
      </c>
      <c r="S30" s="114">
        <f t="shared" si="9"/>
        <v>0</v>
      </c>
      <c r="T30" s="114">
        <f t="shared" si="9"/>
        <v>0</v>
      </c>
      <c r="U30" s="114">
        <f t="shared" si="9"/>
        <v>0</v>
      </c>
    </row>
    <row r="31" spans="1:21">
      <c r="A31" s="53"/>
      <c r="B31" s="29"/>
      <c r="C31" s="40"/>
      <c r="D31" s="40"/>
      <c r="E31" s="40"/>
      <c r="F31" s="40"/>
      <c r="G31" s="40"/>
      <c r="H31" s="40"/>
      <c r="I31" s="40"/>
    </row>
    <row r="32" spans="1:21" s="4" customFormat="1">
      <c r="A32" s="54">
        <f>MAX(A$6:A31)+1</f>
        <v>18</v>
      </c>
      <c r="B32" s="26" t="s">
        <v>129</v>
      </c>
      <c r="C32" s="30"/>
      <c r="D32" s="30">
        <f>SUM(D26:D31)</f>
        <v>0</v>
      </c>
      <c r="E32" s="30">
        <f>SUM(E26:E31)</f>
        <v>0</v>
      </c>
      <c r="F32" s="30">
        <f t="shared" ref="F32:I32" si="11">SUM(F26:F31)</f>
        <v>0</v>
      </c>
      <c r="G32" s="30">
        <f t="shared" si="11"/>
        <v>0</v>
      </c>
      <c r="H32" s="30">
        <f t="shared" si="11"/>
        <v>0</v>
      </c>
      <c r="I32" s="30">
        <f t="shared" si="11"/>
        <v>0</v>
      </c>
      <c r="O32" s="32">
        <f>SUM(O27:O30)</f>
        <v>0</v>
      </c>
      <c r="P32" s="32">
        <f t="shared" ref="P32:U32" si="12">SUM(P27:P30)</f>
        <v>0</v>
      </c>
      <c r="Q32" s="32">
        <f t="shared" si="12"/>
        <v>0</v>
      </c>
      <c r="R32" s="32">
        <f t="shared" si="12"/>
        <v>0</v>
      </c>
      <c r="S32" s="32">
        <f t="shared" si="12"/>
        <v>0</v>
      </c>
      <c r="T32" s="32">
        <f t="shared" si="12"/>
        <v>0</v>
      </c>
      <c r="U32" s="32">
        <f t="shared" si="12"/>
        <v>0</v>
      </c>
    </row>
    <row r="33" spans="1:21" ht="14.1" customHeight="1">
      <c r="A33" s="53"/>
      <c r="B33" s="29"/>
      <c r="C33" s="40"/>
      <c r="D33" s="40"/>
      <c r="E33" s="40"/>
      <c r="F33" s="40"/>
      <c r="G33" s="40"/>
      <c r="H33" s="40"/>
      <c r="I33" s="40"/>
    </row>
    <row r="34" spans="1:21" s="4" customFormat="1">
      <c r="A34" s="54">
        <f>MAX(A$6:A33)+1</f>
        <v>19</v>
      </c>
      <c r="B34" s="26" t="s">
        <v>11</v>
      </c>
      <c r="C34" s="30"/>
      <c r="D34" s="30">
        <f>SUM(D32)</f>
        <v>0</v>
      </c>
      <c r="E34" s="30">
        <f>SUM(E32)</f>
        <v>0</v>
      </c>
      <c r="F34" s="30">
        <f t="shared" ref="F34:I34" si="13">SUM(F32)</f>
        <v>0</v>
      </c>
      <c r="G34" s="30">
        <f t="shared" si="13"/>
        <v>0</v>
      </c>
      <c r="H34" s="30">
        <f t="shared" si="13"/>
        <v>0</v>
      </c>
      <c r="I34" s="30">
        <f t="shared" si="13"/>
        <v>0</v>
      </c>
      <c r="O34" s="30">
        <f t="shared" ref="O34:U34" si="14">SUM(O32)</f>
        <v>0</v>
      </c>
      <c r="P34" s="30">
        <f t="shared" si="14"/>
        <v>0</v>
      </c>
      <c r="Q34" s="30">
        <f t="shared" si="14"/>
        <v>0</v>
      </c>
      <c r="R34" s="30">
        <f t="shared" si="14"/>
        <v>0</v>
      </c>
      <c r="S34" s="30">
        <f t="shared" si="14"/>
        <v>0</v>
      </c>
      <c r="T34" s="30">
        <f t="shared" si="14"/>
        <v>0</v>
      </c>
      <c r="U34" s="30">
        <f t="shared" si="14"/>
        <v>0</v>
      </c>
    </row>
    <row r="35" spans="1:21">
      <c r="A35" s="53"/>
      <c r="B35" s="29"/>
      <c r="C35" s="40"/>
      <c r="D35" s="40"/>
      <c r="E35" s="40"/>
      <c r="F35" s="40"/>
      <c r="G35" s="40"/>
      <c r="H35" s="40"/>
      <c r="I35" s="40"/>
    </row>
    <row r="37" spans="1:21">
      <c r="A3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6"/>
  <sheetViews>
    <sheetView workbookViewId="0"/>
  </sheetViews>
  <sheetFormatPr defaultColWidth="9.140625" defaultRowHeight="15"/>
  <cols>
    <col min="1" max="1" width="9.140625" style="91"/>
    <col min="2" max="2" width="31.5703125" customWidth="1"/>
    <col min="3" max="3" width="15" style="77" bestFit="1" customWidth="1"/>
    <col min="4" max="9" width="13.5703125" customWidth="1"/>
    <col min="10" max="10" width="13.5703125" hidden="1" customWidth="1"/>
    <col min="11" max="16" width="13.5703125" customWidth="1"/>
  </cols>
  <sheetData>
    <row r="1" spans="1:11" ht="19.5" thickTop="1">
      <c r="A1" s="94" t="s">
        <v>130</v>
      </c>
      <c r="B1" s="61"/>
      <c r="C1" s="76"/>
      <c r="D1" s="61"/>
      <c r="E1" s="61"/>
      <c r="F1" s="61"/>
      <c r="G1" s="61"/>
      <c r="H1" s="61"/>
      <c r="I1" s="124"/>
      <c r="K1" s="162" t="s">
        <v>93</v>
      </c>
    </row>
    <row r="2" spans="1:11" ht="15.75" thickBot="1"/>
    <row r="3" spans="1:11" ht="18" thickTop="1">
      <c r="A3" s="86" t="s">
        <v>120</v>
      </c>
      <c r="B3" s="56" t="s">
        <v>37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</row>
    <row r="4" spans="1:11" ht="15.75">
      <c r="A4" s="100"/>
      <c r="B4" s="101" t="s">
        <v>3</v>
      </c>
      <c r="C4" s="102"/>
      <c r="D4" s="101"/>
      <c r="E4" s="101"/>
      <c r="F4" s="101"/>
      <c r="G4" s="101"/>
      <c r="H4" s="101"/>
      <c r="I4" s="101"/>
    </row>
    <row r="5" spans="1:11" ht="15.75">
      <c r="A5" s="87"/>
      <c r="B5" s="28" t="s">
        <v>131</v>
      </c>
      <c r="C5" s="78"/>
      <c r="D5" s="28"/>
      <c r="E5" s="28"/>
      <c r="F5" s="28"/>
      <c r="G5" s="28"/>
      <c r="H5" s="28"/>
      <c r="I5" s="28"/>
    </row>
    <row r="6" spans="1:11">
      <c r="A6" s="88">
        <v>1</v>
      </c>
      <c r="B6" s="14" t="s">
        <v>16</v>
      </c>
      <c r="C6" s="11"/>
      <c r="D6" s="5">
        <v>0</v>
      </c>
      <c r="E6" s="5">
        <v>3.2500000000000001E-2</v>
      </c>
      <c r="F6" s="5">
        <v>0.03</v>
      </c>
      <c r="G6" s="5">
        <v>0.03</v>
      </c>
      <c r="H6" s="5">
        <v>0.03</v>
      </c>
      <c r="I6" s="5">
        <v>0.03</v>
      </c>
    </row>
    <row r="7" spans="1:11">
      <c r="A7" s="89">
        <f>MAX(A$6:A6)+1</f>
        <v>2</v>
      </c>
      <c r="B7" s="29" t="s">
        <v>33</v>
      </c>
      <c r="C7" s="74"/>
      <c r="D7" s="5">
        <v>0</v>
      </c>
      <c r="E7" s="5">
        <v>7.7700000000000005E-2</v>
      </c>
      <c r="F7" s="5">
        <v>6.7000000000000004E-2</v>
      </c>
      <c r="G7" s="5">
        <v>4.6899999999999997E-2</v>
      </c>
      <c r="H7" s="5">
        <v>4.6899999999999997E-2</v>
      </c>
      <c r="I7" s="5">
        <v>4.6899999999999997E-2</v>
      </c>
    </row>
    <row r="8" spans="1:11">
      <c r="A8" s="88">
        <f>MAX(A$6:A7)+1</f>
        <v>3</v>
      </c>
      <c r="B8" s="14" t="s">
        <v>132</v>
      </c>
      <c r="C8" s="11"/>
      <c r="D8" s="5">
        <v>0</v>
      </c>
      <c r="E8" s="5">
        <v>2.7900000000000001E-2</v>
      </c>
      <c r="F8" s="5">
        <v>2.5399999999999999E-2</v>
      </c>
      <c r="G8" s="5">
        <v>1.72E-2</v>
      </c>
      <c r="H8" s="5">
        <v>1.72E-2</v>
      </c>
      <c r="I8" s="5">
        <v>1.5800000000000002E-2</v>
      </c>
    </row>
    <row r="9" spans="1:11">
      <c r="A9" s="89"/>
      <c r="B9" s="29"/>
      <c r="C9" s="40"/>
      <c r="D9" s="40"/>
      <c r="E9" s="40"/>
      <c r="F9" s="40"/>
      <c r="G9" s="40"/>
      <c r="H9" s="40"/>
      <c r="I9" s="40"/>
    </row>
    <row r="10" spans="1:11" ht="15.75">
      <c r="A10" s="87"/>
      <c r="B10" s="28" t="s">
        <v>133</v>
      </c>
      <c r="C10" s="78"/>
      <c r="D10" s="28"/>
      <c r="E10" s="28"/>
      <c r="F10" s="28"/>
      <c r="G10" s="28"/>
      <c r="H10" s="28"/>
      <c r="I10" s="28"/>
    </row>
    <row r="11" spans="1:11">
      <c r="A11" s="89">
        <f>MAX(A$6:A10)+1</f>
        <v>4</v>
      </c>
      <c r="B11" s="29" t="s">
        <v>134</v>
      </c>
      <c r="C11" s="79">
        <v>0</v>
      </c>
      <c r="D11" s="73">
        <f>ROUND(+C11*(1+D$7),-3)</f>
        <v>0</v>
      </c>
      <c r="E11" s="73">
        <f>ROUND(+D11*(1+E$7),-3)</f>
        <v>0</v>
      </c>
      <c r="F11" s="74"/>
      <c r="G11" s="74"/>
      <c r="H11" s="74"/>
      <c r="I11" s="74"/>
    </row>
    <row r="12" spans="1:11">
      <c r="A12" s="88">
        <f>MAX(A$6:A11)+1</f>
        <v>5</v>
      </c>
      <c r="B12" s="14" t="s">
        <v>134</v>
      </c>
      <c r="C12" s="79">
        <v>0</v>
      </c>
      <c r="D12" s="11">
        <f>ROUND(+C12*(1+D$7),-3)</f>
        <v>0</v>
      </c>
      <c r="E12" s="75">
        <f>ROUND(+D12*(1+E$7),-3)</f>
        <v>0</v>
      </c>
      <c r="F12" s="75">
        <f t="shared" ref="F12:I12" si="1">ROUND(+E12*(1+F$7),-3)</f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11">
      <c r="A13" s="89"/>
      <c r="B13" s="29"/>
      <c r="C13" s="40"/>
      <c r="D13" s="40"/>
      <c r="E13" s="40"/>
      <c r="F13" s="40"/>
      <c r="G13" s="40"/>
      <c r="H13" s="40"/>
      <c r="I13" s="40"/>
    </row>
    <row r="14" spans="1:11" ht="15.75">
      <c r="A14" s="87"/>
      <c r="B14" s="28" t="s">
        <v>135</v>
      </c>
      <c r="C14" s="78"/>
      <c r="D14" s="28"/>
      <c r="E14" s="28"/>
      <c r="F14" s="28"/>
      <c r="G14" s="28"/>
      <c r="H14" s="28"/>
      <c r="I14" s="28"/>
    </row>
    <row r="15" spans="1:11">
      <c r="A15" s="88"/>
      <c r="B15" s="14" t="s">
        <v>136</v>
      </c>
      <c r="C15" s="11"/>
      <c r="D15" s="14"/>
      <c r="E15" s="47"/>
      <c r="F15" s="47"/>
      <c r="G15" s="47"/>
      <c r="H15" s="47"/>
      <c r="I15" s="47"/>
    </row>
    <row r="16" spans="1:11">
      <c r="A16" s="89">
        <f>MAX(A$6:A15)+1</f>
        <v>6</v>
      </c>
      <c r="B16" s="29" t="s">
        <v>134</v>
      </c>
      <c r="C16" s="79">
        <v>0</v>
      </c>
      <c r="D16" s="73">
        <f>ROUND(+C16*(1+D$6),-3)</f>
        <v>0</v>
      </c>
      <c r="E16" s="73">
        <f t="shared" ref="E16:I18" si="2">ROUND(+D16*(1+E$6),-3)</f>
        <v>0</v>
      </c>
      <c r="F16" s="72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</row>
    <row r="17" spans="1:9">
      <c r="A17" s="88">
        <f>MAX(A$6:A16)+1</f>
        <v>7</v>
      </c>
      <c r="B17" s="14" t="s">
        <v>134</v>
      </c>
      <c r="C17" s="96">
        <v>0</v>
      </c>
      <c r="D17" s="97">
        <f>ROUND(+C17*(1+D$6),-3)</f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97">
        <f t="shared" si="2"/>
        <v>0</v>
      </c>
      <c r="I17" s="97">
        <f t="shared" si="2"/>
        <v>0</v>
      </c>
    </row>
    <row r="18" spans="1:9">
      <c r="A18" s="89">
        <f>MAX(A$6:A17)+1</f>
        <v>8</v>
      </c>
      <c r="B18" s="29" t="s">
        <v>134</v>
      </c>
      <c r="C18" s="96">
        <v>0</v>
      </c>
      <c r="D18" s="98">
        <f>ROUND(+C18*(1+D$6),-3)</f>
        <v>0</v>
      </c>
      <c r="E18" s="99">
        <f t="shared" si="2"/>
        <v>0</v>
      </c>
      <c r="F18" s="98">
        <f t="shared" si="2"/>
        <v>0</v>
      </c>
      <c r="G18" s="98">
        <f t="shared" si="2"/>
        <v>0</v>
      </c>
      <c r="H18" s="99">
        <f t="shared" si="2"/>
        <v>0</v>
      </c>
      <c r="I18" s="99">
        <f t="shared" si="2"/>
        <v>0</v>
      </c>
    </row>
    <row r="19" spans="1:9">
      <c r="A19" s="88">
        <f>MAX(A$6:A18)+1</f>
        <v>9</v>
      </c>
      <c r="B19" s="14" t="s">
        <v>23</v>
      </c>
      <c r="C19" s="11">
        <f t="shared" ref="C19:H19" si="3">SUM(C16:C18)</f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1">
        <f t="shared" ref="I19" si="4">SUM(I16:I18)</f>
        <v>0</v>
      </c>
    </row>
    <row r="20" spans="1:9">
      <c r="A20" s="89"/>
      <c r="B20" s="33"/>
      <c r="C20" s="33"/>
      <c r="D20" s="73"/>
      <c r="E20" s="72"/>
      <c r="F20" s="73"/>
      <c r="G20" s="73"/>
      <c r="H20" s="72"/>
      <c r="I20" s="72"/>
    </row>
    <row r="21" spans="1:9">
      <c r="A21" s="88">
        <f>MAX(A$6:A20)+1</f>
        <v>10</v>
      </c>
      <c r="B21" s="14" t="s">
        <v>137</v>
      </c>
      <c r="C21" s="11">
        <f>SUM(C16:C19)*0.9897</f>
        <v>0</v>
      </c>
      <c r="D21" s="14"/>
      <c r="E21" s="47"/>
      <c r="F21" s="47"/>
      <c r="G21" s="47"/>
      <c r="H21" s="47"/>
      <c r="I21" s="47"/>
    </row>
    <row r="22" spans="1:9">
      <c r="A22" s="89"/>
      <c r="B22" s="33"/>
      <c r="C22" s="33"/>
      <c r="D22" s="73"/>
      <c r="E22" s="73"/>
      <c r="F22" s="73"/>
      <c r="G22" s="73"/>
      <c r="H22" s="73"/>
      <c r="I22" s="73"/>
    </row>
    <row r="23" spans="1:9">
      <c r="A23" s="88">
        <f>MAX(A$6:A22)+1</f>
        <v>11</v>
      </c>
      <c r="B23" s="14" t="s">
        <v>98</v>
      </c>
      <c r="C23" s="11">
        <v>0</v>
      </c>
      <c r="D23" s="11">
        <f t="shared" ref="D23:I23" si="5">ROUND(+C23*(1+D$8),-3)</f>
        <v>0</v>
      </c>
      <c r="E23" s="11">
        <f t="shared" si="5"/>
        <v>0</v>
      </c>
      <c r="F23" s="11">
        <f t="shared" si="5"/>
        <v>0</v>
      </c>
      <c r="G23" s="11">
        <f t="shared" si="5"/>
        <v>0</v>
      </c>
      <c r="H23" s="11">
        <f t="shared" si="5"/>
        <v>0</v>
      </c>
      <c r="I23" s="11">
        <f t="shared" si="5"/>
        <v>0</v>
      </c>
    </row>
    <row r="24" spans="1:9">
      <c r="A24" s="89"/>
      <c r="B24" s="63"/>
      <c r="C24" s="80"/>
      <c r="D24" s="40"/>
      <c r="E24" s="40"/>
      <c r="F24" s="40"/>
      <c r="G24" s="40"/>
      <c r="H24" s="40"/>
      <c r="I24" s="40"/>
    </row>
    <row r="25" spans="1:9">
      <c r="A25" s="88">
        <f>MAX(A$6:A24)+1</f>
        <v>12</v>
      </c>
      <c r="B25" s="14" t="s">
        <v>138</v>
      </c>
      <c r="C25" s="11">
        <f>SUM(C16:C24)</f>
        <v>0</v>
      </c>
      <c r="D25" s="14"/>
      <c r="E25" s="47"/>
      <c r="F25" s="47"/>
      <c r="G25" s="47"/>
      <c r="H25" s="47"/>
      <c r="I25" s="47"/>
    </row>
    <row r="26" spans="1:9">
      <c r="A26" s="89"/>
      <c r="B26" s="63"/>
      <c r="C26" s="80"/>
      <c r="D26" s="40"/>
      <c r="E26" s="40"/>
      <c r="F26" s="40"/>
      <c r="G26" s="40"/>
      <c r="H26" s="40"/>
      <c r="I26" s="40"/>
    </row>
    <row r="27" spans="1:9" ht="15.75">
      <c r="A27" s="87"/>
      <c r="B27" s="28" t="s">
        <v>139</v>
      </c>
      <c r="C27" s="78"/>
      <c r="D27" s="28"/>
      <c r="E27" s="28"/>
      <c r="F27" s="28"/>
      <c r="G27" s="28"/>
      <c r="H27" s="28"/>
      <c r="I27" s="28"/>
    </row>
    <row r="28" spans="1:9">
      <c r="A28" s="88">
        <f>MAX(A$6:A27)+1</f>
        <v>13</v>
      </c>
      <c r="B28" s="81" t="s">
        <v>85</v>
      </c>
      <c r="C28" s="11"/>
      <c r="D28" s="47">
        <f>+'Pension &amp; Fringes Ratio'!F12</f>
        <v>0.41580960355225755</v>
      </c>
      <c r="E28" s="47">
        <f>+'Pension &amp; Fringes Ratio'!G12</f>
        <v>0.41865776842720981</v>
      </c>
      <c r="F28" s="47">
        <f>+'Pension &amp; Fringes Ratio'!H12</f>
        <v>0.42478697636701074</v>
      </c>
      <c r="G28" s="47">
        <f>+'Pension &amp; Fringes Ratio'!I12</f>
        <v>0.43102784918593423</v>
      </c>
      <c r="H28" s="47">
        <f>+'Pension &amp; Fringes Ratio'!J12</f>
        <v>0.43657739089624953</v>
      </c>
      <c r="I28" s="47">
        <f>+'Pension &amp; Fringes Ratio'!K12</f>
        <v>0.44219838370480069</v>
      </c>
    </row>
    <row r="29" spans="1:9">
      <c r="A29" s="89">
        <f>MAX(A$6:A28)+1</f>
        <v>14</v>
      </c>
      <c r="B29" s="29" t="s">
        <v>86</v>
      </c>
      <c r="C29" s="33"/>
      <c r="D29" s="95">
        <f>+'Pension &amp; Fringes Ratio'!F13</f>
        <v>0.35310296108626987</v>
      </c>
      <c r="E29" s="95">
        <f>+'Pension &amp; Fringes Ratio'!G13</f>
        <v>0.34265790145175806</v>
      </c>
      <c r="F29" s="95">
        <f>+'Pension &amp; Fringes Ratio'!H13</f>
        <v>0.33322384281979445</v>
      </c>
      <c r="G29" s="95">
        <f>+'Pension &amp; Fringes Ratio'!I13</f>
        <v>0.32563972543586467</v>
      </c>
      <c r="H29" s="95">
        <f>+'Pension &amp; Fringes Ratio'!J13</f>
        <v>0.31722549652607956</v>
      </c>
      <c r="I29" s="95">
        <f>+'Pension &amp; Fringes Ratio'!K13</f>
        <v>0.30902868349837548</v>
      </c>
    </row>
    <row r="30" spans="1:9">
      <c r="A30" s="88">
        <f>MAX(A$6:A29)+1</f>
        <v>15</v>
      </c>
      <c r="B30" s="81" t="s">
        <v>140</v>
      </c>
      <c r="C30" s="11"/>
      <c r="D30" s="47">
        <f>+'Pension &amp; Fringes Ratio'!F14</f>
        <v>6.3645515160973762E-2</v>
      </c>
      <c r="E30" s="47">
        <f>+'Pension &amp; Fringes Ratio'!G14</f>
        <v>6.963541657885905E-2</v>
      </c>
      <c r="F30" s="47">
        <f>+'Pension &amp; Fringes Ratio'!H14</f>
        <v>6.7607994022503629E-2</v>
      </c>
      <c r="G30" s="47">
        <f>+'Pension &amp; Fringes Ratio'!I14</f>
        <v>6.563914469628708E-2</v>
      </c>
      <c r="H30" s="47">
        <f>+'Pension &amp; Fringes Ratio'!J14</f>
        <v>6.4224521873157386E-2</v>
      </c>
      <c r="I30" s="47">
        <f>+'Pension &amp; Fringes Ratio'!K14</f>
        <v>6.2353208427215305E-2</v>
      </c>
    </row>
    <row r="31" spans="1:9">
      <c r="A31" s="89"/>
      <c r="B31" s="63"/>
      <c r="C31" s="80"/>
      <c r="D31" s="40"/>
      <c r="E31" s="40"/>
      <c r="F31" s="40"/>
      <c r="G31" s="40"/>
      <c r="H31" s="40"/>
      <c r="I31" s="40"/>
    </row>
    <row r="32" spans="1:9" ht="15.75">
      <c r="A32" s="100"/>
      <c r="B32" s="101" t="s">
        <v>8</v>
      </c>
      <c r="C32" s="102"/>
      <c r="D32" s="101"/>
      <c r="E32" s="101"/>
      <c r="F32" s="101"/>
      <c r="G32" s="101"/>
      <c r="H32" s="101"/>
      <c r="I32" s="101"/>
    </row>
    <row r="33" spans="1:9" ht="15.75">
      <c r="A33" s="87"/>
      <c r="B33" s="28" t="s">
        <v>141</v>
      </c>
      <c r="C33" s="78"/>
      <c r="D33" s="28"/>
      <c r="E33" s="28"/>
      <c r="F33" s="28"/>
      <c r="G33" s="28"/>
      <c r="H33" s="28"/>
      <c r="I33" s="28"/>
    </row>
    <row r="34" spans="1:9">
      <c r="A34" s="89">
        <f>MAX(A$6:A33)+1</f>
        <v>16</v>
      </c>
      <c r="B34" s="29" t="s">
        <v>134</v>
      </c>
      <c r="C34" s="33"/>
      <c r="D34" s="73"/>
      <c r="E34" s="73">
        <f>+E11</f>
        <v>0</v>
      </c>
      <c r="F34" s="74"/>
      <c r="G34" s="74"/>
      <c r="H34" s="74"/>
      <c r="I34" s="74"/>
    </row>
    <row r="35" spans="1:9">
      <c r="A35" s="88">
        <f>MAX(A$6:A34)+1</f>
        <v>17</v>
      </c>
      <c r="B35" s="14" t="s">
        <v>134</v>
      </c>
      <c r="C35" s="14"/>
      <c r="D35" s="11"/>
      <c r="E35" s="75"/>
      <c r="F35" s="75">
        <f t="shared" ref="F35:I35" si="6">+F12</f>
        <v>0</v>
      </c>
      <c r="G35" s="75">
        <f t="shared" si="6"/>
        <v>0</v>
      </c>
      <c r="H35" s="75">
        <f t="shared" si="6"/>
        <v>0</v>
      </c>
      <c r="I35" s="75">
        <f t="shared" si="6"/>
        <v>0</v>
      </c>
    </row>
    <row r="36" spans="1:9">
      <c r="A36" s="89"/>
      <c r="B36" s="63"/>
      <c r="C36" s="80"/>
      <c r="D36" s="40"/>
      <c r="E36" s="40"/>
      <c r="F36" s="40"/>
      <c r="G36" s="40"/>
      <c r="H36" s="40"/>
      <c r="I36" s="40"/>
    </row>
    <row r="37" spans="1:9">
      <c r="A37" s="89">
        <f>MAX(A$6:A36)+1</f>
        <v>18</v>
      </c>
      <c r="B37" s="63" t="s">
        <v>138</v>
      </c>
      <c r="C37" s="80">
        <f>SUM(C34:C36)</f>
        <v>0</v>
      </c>
      <c r="D37" s="40">
        <f t="shared" ref="D37:H37" si="7">SUM(D34:D36)</f>
        <v>0</v>
      </c>
      <c r="E37" s="40">
        <f t="shared" si="7"/>
        <v>0</v>
      </c>
      <c r="F37" s="40">
        <f t="shared" si="7"/>
        <v>0</v>
      </c>
      <c r="G37" s="40">
        <f t="shared" si="7"/>
        <v>0</v>
      </c>
      <c r="H37" s="40">
        <f t="shared" si="7"/>
        <v>0</v>
      </c>
      <c r="I37" s="40">
        <f t="shared" ref="I37" si="8">SUM(I34:I36)</f>
        <v>0</v>
      </c>
    </row>
    <row r="38" spans="1:9">
      <c r="A38" s="103"/>
      <c r="B38" s="104"/>
      <c r="C38" s="105"/>
      <c r="D38" s="106"/>
      <c r="E38" s="106"/>
      <c r="F38" s="106"/>
      <c r="G38" s="106"/>
      <c r="H38" s="106"/>
      <c r="I38" s="106"/>
    </row>
    <row r="39" spans="1:9">
      <c r="A39" s="88">
        <f>MAX(A$6:A38)+1</f>
        <v>19</v>
      </c>
      <c r="B39" s="70" t="s">
        <v>142</v>
      </c>
      <c r="C39" s="93">
        <f t="shared" ref="C39:H39" si="9">SUM(C37)</f>
        <v>0</v>
      </c>
      <c r="D39" s="93">
        <f t="shared" si="9"/>
        <v>0</v>
      </c>
      <c r="E39" s="93">
        <f t="shared" si="9"/>
        <v>0</v>
      </c>
      <c r="F39" s="93">
        <f t="shared" si="9"/>
        <v>0</v>
      </c>
      <c r="G39" s="93">
        <f t="shared" si="9"/>
        <v>0</v>
      </c>
      <c r="H39" s="93">
        <f t="shared" si="9"/>
        <v>0</v>
      </c>
      <c r="I39" s="93">
        <f t="shared" ref="I39" si="10">SUM(I37)</f>
        <v>0</v>
      </c>
    </row>
    <row r="40" spans="1:9" ht="15.75">
      <c r="A40" s="87"/>
      <c r="B40" s="28" t="s">
        <v>143</v>
      </c>
      <c r="C40" s="78"/>
      <c r="D40" s="28"/>
      <c r="E40" s="28"/>
      <c r="F40" s="28"/>
      <c r="G40" s="28"/>
      <c r="H40" s="28"/>
      <c r="I40" s="28"/>
    </row>
    <row r="41" spans="1:9">
      <c r="A41" s="88">
        <f>MAX(A$6:A40)+1</f>
        <v>20</v>
      </c>
      <c r="B41" s="70" t="s">
        <v>144</v>
      </c>
      <c r="C41" s="11"/>
      <c r="D41" s="11">
        <f t="shared" ref="D41:H41" si="11">+D19</f>
        <v>0</v>
      </c>
      <c r="E41" s="11">
        <f t="shared" si="11"/>
        <v>0</v>
      </c>
      <c r="F41" s="11">
        <f t="shared" si="11"/>
        <v>0</v>
      </c>
      <c r="G41" s="11">
        <f t="shared" si="11"/>
        <v>0</v>
      </c>
      <c r="H41" s="11">
        <f t="shared" si="11"/>
        <v>0</v>
      </c>
      <c r="I41" s="11">
        <f t="shared" ref="I41" si="12">+I19</f>
        <v>0</v>
      </c>
    </row>
    <row r="42" spans="1:9" ht="17.25">
      <c r="A42" s="89">
        <f>MAX(A$6:A41)+1</f>
        <v>21</v>
      </c>
      <c r="B42" s="33" t="s">
        <v>145</v>
      </c>
      <c r="C42" s="33"/>
      <c r="D42" s="5">
        <v>0</v>
      </c>
      <c r="E42" s="5">
        <v>0.75</v>
      </c>
      <c r="F42" s="5">
        <v>1</v>
      </c>
      <c r="G42" s="5">
        <v>1</v>
      </c>
      <c r="H42" s="5">
        <v>1</v>
      </c>
      <c r="I42" s="5">
        <v>1</v>
      </c>
    </row>
    <row r="43" spans="1:9">
      <c r="A43" s="88">
        <f>MAX(A$6:A42)+1</f>
        <v>22</v>
      </c>
      <c r="B43" s="70" t="s">
        <v>146</v>
      </c>
      <c r="C43" s="92">
        <f t="shared" ref="C43:H43" si="13">ROUND(+C41*C42,-3)</f>
        <v>0</v>
      </c>
      <c r="D43" s="92">
        <f t="shared" si="13"/>
        <v>0</v>
      </c>
      <c r="E43" s="92">
        <f t="shared" si="13"/>
        <v>0</v>
      </c>
      <c r="F43" s="92">
        <f t="shared" si="13"/>
        <v>0</v>
      </c>
      <c r="G43" s="92">
        <f t="shared" si="13"/>
        <v>0</v>
      </c>
      <c r="H43" s="92">
        <f t="shared" si="13"/>
        <v>0</v>
      </c>
      <c r="I43" s="92">
        <f t="shared" ref="I43" si="14">ROUND(+I41*I42,-3)</f>
        <v>0</v>
      </c>
    </row>
    <row r="44" spans="1:9" ht="15.75">
      <c r="A44" s="87"/>
      <c r="B44" s="28" t="s">
        <v>147</v>
      </c>
      <c r="C44" s="78"/>
      <c r="D44" s="28"/>
      <c r="E44" s="28"/>
      <c r="F44" s="28"/>
      <c r="G44" s="28"/>
      <c r="H44" s="28"/>
      <c r="I44" s="28"/>
    </row>
    <row r="45" spans="1:9">
      <c r="A45" s="88">
        <f>MAX(A$6:A44)+1</f>
        <v>23</v>
      </c>
      <c r="B45" s="81" t="s">
        <v>148</v>
      </c>
      <c r="C45" s="92"/>
      <c r="D45" s="92"/>
      <c r="E45" s="92">
        <f t="shared" ref="E45:I45" si="15">+E23</f>
        <v>0</v>
      </c>
      <c r="F45" s="92">
        <f t="shared" si="15"/>
        <v>0</v>
      </c>
      <c r="G45" s="92">
        <f t="shared" si="15"/>
        <v>0</v>
      </c>
      <c r="H45" s="92">
        <f t="shared" si="15"/>
        <v>0</v>
      </c>
      <c r="I45" s="92">
        <f t="shared" si="15"/>
        <v>0</v>
      </c>
    </row>
    <row r="46" spans="1:9">
      <c r="A46" s="89"/>
      <c r="B46" s="63"/>
      <c r="C46" s="80"/>
      <c r="D46" s="40"/>
      <c r="E46" s="40"/>
      <c r="F46" s="40"/>
      <c r="G46" s="40"/>
      <c r="H46" s="40"/>
      <c r="I46" s="40"/>
    </row>
    <row r="47" spans="1:9" ht="15.75">
      <c r="A47" s="87"/>
      <c r="B47" s="28" t="s">
        <v>149</v>
      </c>
      <c r="C47" s="78"/>
      <c r="D47" s="28"/>
      <c r="E47" s="28"/>
      <c r="F47" s="28"/>
      <c r="G47" s="28"/>
      <c r="H47" s="28"/>
      <c r="I47" s="28"/>
    </row>
    <row r="48" spans="1:9">
      <c r="A48" s="88">
        <f>MAX(A$6:A47)+1</f>
        <v>24</v>
      </c>
      <c r="B48" s="70" t="s">
        <v>150</v>
      </c>
      <c r="C48" s="11"/>
      <c r="D48" s="75">
        <f t="shared" ref="D48:H48" si="16">ROUND(+D$43*D28,-3)</f>
        <v>0</v>
      </c>
      <c r="E48" s="75">
        <f t="shared" si="16"/>
        <v>0</v>
      </c>
      <c r="F48" s="75">
        <f t="shared" si="16"/>
        <v>0</v>
      </c>
      <c r="G48" s="75">
        <f t="shared" si="16"/>
        <v>0</v>
      </c>
      <c r="H48" s="75">
        <f t="shared" si="16"/>
        <v>0</v>
      </c>
      <c r="I48" s="75">
        <f t="shared" ref="I48" si="17">ROUND(+I$43*I28,-3)</f>
        <v>0</v>
      </c>
    </row>
    <row r="49" spans="1:9">
      <c r="A49" s="89">
        <f>MAX(A$6:A48)+1</f>
        <v>25</v>
      </c>
      <c r="B49" s="33" t="s">
        <v>151</v>
      </c>
      <c r="C49" s="33"/>
      <c r="D49" s="82">
        <f t="shared" ref="D49:H49" si="18">ROUND(+D$43*D29,-3)</f>
        <v>0</v>
      </c>
      <c r="E49" s="82">
        <f t="shared" si="18"/>
        <v>0</v>
      </c>
      <c r="F49" s="82">
        <f t="shared" si="18"/>
        <v>0</v>
      </c>
      <c r="G49" s="82">
        <f t="shared" si="18"/>
        <v>0</v>
      </c>
      <c r="H49" s="82">
        <f t="shared" si="18"/>
        <v>0</v>
      </c>
      <c r="I49" s="82">
        <f t="shared" ref="I49" si="19">ROUND(+I$43*I29,-3)</f>
        <v>0</v>
      </c>
    </row>
    <row r="50" spans="1:9">
      <c r="A50" s="88">
        <f>MAX(A$6:A49)+1</f>
        <v>26</v>
      </c>
      <c r="B50" s="70" t="s">
        <v>152</v>
      </c>
      <c r="C50" s="11"/>
      <c r="D50" s="75">
        <f t="shared" ref="D50:H50" si="20">ROUND(+D$43*D30,-3)</f>
        <v>0</v>
      </c>
      <c r="E50" s="75">
        <f t="shared" si="20"/>
        <v>0</v>
      </c>
      <c r="F50" s="75">
        <f t="shared" si="20"/>
        <v>0</v>
      </c>
      <c r="G50" s="75">
        <f t="shared" si="20"/>
        <v>0</v>
      </c>
      <c r="H50" s="75">
        <f t="shared" si="20"/>
        <v>0</v>
      </c>
      <c r="I50" s="75">
        <f t="shared" ref="I50" si="21">ROUND(+I$43*I30,-3)</f>
        <v>0</v>
      </c>
    </row>
    <row r="51" spans="1:9">
      <c r="A51" s="89"/>
      <c r="B51" s="33"/>
      <c r="C51" s="33"/>
      <c r="D51" s="82"/>
      <c r="E51" s="82"/>
      <c r="F51" s="82"/>
      <c r="G51" s="82"/>
      <c r="H51" s="82"/>
      <c r="I51" s="82"/>
    </row>
    <row r="52" spans="1:9">
      <c r="A52" s="88">
        <f>MAX(A$6:A51)+1</f>
        <v>27</v>
      </c>
      <c r="B52" s="70" t="s">
        <v>153</v>
      </c>
      <c r="C52" s="11"/>
      <c r="D52" s="75">
        <f t="shared" ref="D52:H52" si="22">SUM(D48:D50,D45,D43)</f>
        <v>0</v>
      </c>
      <c r="E52" s="75">
        <f t="shared" si="22"/>
        <v>0</v>
      </c>
      <c r="F52" s="75">
        <f t="shared" si="22"/>
        <v>0</v>
      </c>
      <c r="G52" s="75">
        <f t="shared" si="22"/>
        <v>0</v>
      </c>
      <c r="H52" s="75">
        <f t="shared" si="22"/>
        <v>0</v>
      </c>
      <c r="I52" s="75">
        <f t="shared" ref="I52" si="23">SUM(I48:I50,I45,I43)</f>
        <v>0</v>
      </c>
    </row>
    <row r="53" spans="1:9">
      <c r="A53" s="89"/>
      <c r="B53" s="33"/>
      <c r="C53" s="33"/>
      <c r="D53" s="82"/>
      <c r="E53" s="82"/>
      <c r="F53" s="82"/>
      <c r="G53" s="82"/>
      <c r="H53" s="82"/>
      <c r="I53" s="82"/>
    </row>
    <row r="54" spans="1:9" ht="15.75">
      <c r="A54" s="87"/>
      <c r="B54" s="28" t="s">
        <v>154</v>
      </c>
      <c r="C54" s="78"/>
      <c r="D54" s="28"/>
      <c r="E54" s="28"/>
      <c r="F54" s="28"/>
      <c r="G54" s="28"/>
      <c r="H54" s="28"/>
      <c r="I54" s="28"/>
    </row>
    <row r="55" spans="1:9" s="4" customFormat="1">
      <c r="A55" s="90">
        <f>MAX(A$6:A54)+1</f>
        <v>28</v>
      </c>
      <c r="B55" s="83" t="s">
        <v>155</v>
      </c>
      <c r="C55" s="84"/>
      <c r="D55" s="85">
        <f t="shared" ref="D55:H55" si="24">+D39+D52</f>
        <v>0</v>
      </c>
      <c r="E55" s="85">
        <f t="shared" si="24"/>
        <v>0</v>
      </c>
      <c r="F55" s="85">
        <f t="shared" si="24"/>
        <v>0</v>
      </c>
      <c r="G55" s="85">
        <f t="shared" si="24"/>
        <v>0</v>
      </c>
      <c r="H55" s="85">
        <f t="shared" si="24"/>
        <v>0</v>
      </c>
      <c r="I55" s="85">
        <f t="shared" ref="I55" si="25">+I39+I52</f>
        <v>0</v>
      </c>
    </row>
    <row r="56" spans="1:9" ht="15.75">
      <c r="A56" s="87"/>
      <c r="B56" s="28"/>
      <c r="C56" s="78"/>
      <c r="D56" s="28"/>
      <c r="E56" s="28"/>
      <c r="F56" s="28"/>
      <c r="G56" s="28"/>
      <c r="H56" s="28"/>
      <c r="I56" s="28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3"/>
  <sheetViews>
    <sheetView workbookViewId="0"/>
  </sheetViews>
  <sheetFormatPr defaultRowHeight="15"/>
  <cols>
    <col min="1" max="2" width="10.5703125" style="3" customWidth="1"/>
    <col min="3" max="3" width="30.5703125" customWidth="1"/>
    <col min="4" max="11" width="15.5703125" customWidth="1"/>
    <col min="12" max="12" width="15.5703125" hidden="1" customWidth="1"/>
    <col min="13" max="18" width="15.5703125" customWidth="1"/>
  </cols>
  <sheetData>
    <row r="1" spans="1:20" ht="20.25" thickTop="1" thickBot="1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124"/>
    </row>
    <row r="2" spans="1:20" ht="18" thickTop="1">
      <c r="A2" s="51" t="s">
        <v>157</v>
      </c>
      <c r="B2" s="56" t="s">
        <v>158</v>
      </c>
      <c r="C2" s="56" t="s">
        <v>15</v>
      </c>
      <c r="D2" s="56"/>
      <c r="E2" s="20">
        <v>2022</v>
      </c>
      <c r="F2" s="20">
        <f t="shared" ref="F2:K2" si="0">+E2+1</f>
        <v>2023</v>
      </c>
      <c r="G2" s="20">
        <f t="shared" si="0"/>
        <v>2024</v>
      </c>
      <c r="H2" s="20">
        <f t="shared" si="0"/>
        <v>2025</v>
      </c>
      <c r="I2" s="20">
        <f t="shared" si="0"/>
        <v>2026</v>
      </c>
      <c r="J2" s="20">
        <f t="shared" si="0"/>
        <v>2027</v>
      </c>
      <c r="K2" s="20">
        <f t="shared" si="0"/>
        <v>2028</v>
      </c>
    </row>
    <row r="3" spans="1:20" ht="15.75">
      <c r="A3" s="8"/>
      <c r="B3" s="28" t="s">
        <v>159</v>
      </c>
      <c r="C3" s="28"/>
      <c r="D3" s="28"/>
      <c r="E3" s="28"/>
      <c r="F3" s="28"/>
      <c r="G3" s="28"/>
      <c r="H3" s="28"/>
      <c r="I3" s="28"/>
      <c r="J3" s="28"/>
      <c r="K3" s="28"/>
    </row>
    <row r="4" spans="1:20">
      <c r="A4" s="10">
        <v>1</v>
      </c>
      <c r="B4" s="65">
        <v>100</v>
      </c>
      <c r="C4" s="60" t="s">
        <v>160</v>
      </c>
      <c r="D4" s="24"/>
      <c r="E4" s="24">
        <v>158297211</v>
      </c>
      <c r="F4" s="24">
        <v>172675167.64070222</v>
      </c>
      <c r="G4" s="24">
        <v>178287110.58902505</v>
      </c>
      <c r="H4" s="24">
        <v>183635723.90669578</v>
      </c>
      <c r="I4" s="24">
        <v>189144795.62389666</v>
      </c>
      <c r="J4" s="24">
        <v>194819139.49261355</v>
      </c>
      <c r="K4" s="24">
        <v>200663713.67739195</v>
      </c>
      <c r="M4" t="s">
        <v>161</v>
      </c>
      <c r="N4" t="s">
        <v>162</v>
      </c>
    </row>
    <row r="5" spans="1:20">
      <c r="A5" s="12">
        <f>MAX(A4)+1</f>
        <v>2</v>
      </c>
      <c r="B5" s="18" t="s">
        <v>163</v>
      </c>
      <c r="C5" s="66" t="s">
        <v>85</v>
      </c>
      <c r="D5" s="18"/>
      <c r="E5" s="62">
        <v>63161240</v>
      </c>
      <c r="F5" s="62">
        <v>71799993</v>
      </c>
      <c r="G5" s="62">
        <v>74641283.858536392</v>
      </c>
      <c r="H5" s="62">
        <v>78006063.911292493</v>
      </c>
      <c r="I5" s="62">
        <v>81526674.442481279</v>
      </c>
      <c r="J5" s="62">
        <v>85053631.616337717</v>
      </c>
      <c r="K5" s="62">
        <v>88733169.856345624</v>
      </c>
    </row>
    <row r="6" spans="1:20">
      <c r="A6" s="10">
        <f>MAX(A$5:A5)+1</f>
        <v>3</v>
      </c>
      <c r="B6" s="65">
        <v>191</v>
      </c>
      <c r="C6" s="60" t="s">
        <v>86</v>
      </c>
      <c r="D6" s="24"/>
      <c r="E6" s="24">
        <v>58970176</v>
      </c>
      <c r="F6" s="24">
        <v>60972113</v>
      </c>
      <c r="G6" s="24">
        <v>61091487.170332834</v>
      </c>
      <c r="H6" s="24">
        <v>61191801.599183962</v>
      </c>
      <c r="I6" s="24">
        <v>61593059.314588442</v>
      </c>
      <c r="J6" s="24">
        <v>61801598.258327886</v>
      </c>
      <c r="K6" s="24">
        <v>62010843.263619393</v>
      </c>
      <c r="N6" t="s">
        <v>164</v>
      </c>
    </row>
    <row r="7" spans="1:20">
      <c r="A7" s="12">
        <f>MAX(A$5:A6)+1</f>
        <v>4</v>
      </c>
      <c r="B7" s="18">
        <v>190</v>
      </c>
      <c r="C7" s="66" t="s">
        <v>87</v>
      </c>
      <c r="D7" s="18"/>
      <c r="E7" s="62">
        <v>8541319.2799999993</v>
      </c>
      <c r="F7" s="62">
        <v>10990000</v>
      </c>
      <c r="G7" s="62">
        <v>12415097.216507871</v>
      </c>
      <c r="H7" s="62">
        <v>12415242.924202016</v>
      </c>
      <c r="I7" s="62">
        <v>12415302.608506599</v>
      </c>
      <c r="J7" s="62">
        <v>12512166.085653059</v>
      </c>
      <c r="K7" s="62">
        <v>12512026.362705475</v>
      </c>
    </row>
    <row r="8" spans="1:20">
      <c r="A8" s="10"/>
      <c r="B8" s="65"/>
      <c r="C8" s="60"/>
      <c r="D8" s="24"/>
      <c r="E8" s="24"/>
      <c r="F8" s="24"/>
      <c r="G8" s="24"/>
      <c r="H8" s="24"/>
      <c r="I8" s="24"/>
      <c r="J8" s="24"/>
      <c r="K8" s="24"/>
    </row>
    <row r="9" spans="1:20" s="4" customFormat="1">
      <c r="A9" s="34">
        <f>MAX(A$5:A8)+1</f>
        <v>5</v>
      </c>
      <c r="B9" s="35"/>
      <c r="C9" s="63" t="s">
        <v>88</v>
      </c>
      <c r="D9" s="35"/>
      <c r="E9" s="64">
        <f t="shared" ref="E9:K9" si="1">SUM(E4:E8)</f>
        <v>288969946.27999997</v>
      </c>
      <c r="F9" s="64">
        <f t="shared" si="1"/>
        <v>316437273.64070225</v>
      </c>
      <c r="G9" s="64">
        <f t="shared" si="1"/>
        <v>326434978.83440214</v>
      </c>
      <c r="H9" s="64">
        <f t="shared" si="1"/>
        <v>335248832.34137428</v>
      </c>
      <c r="I9" s="64">
        <f t="shared" si="1"/>
        <v>344679831.98947299</v>
      </c>
      <c r="J9" s="64">
        <f t="shared" si="1"/>
        <v>354186535.45293224</v>
      </c>
      <c r="K9" s="64">
        <f t="shared" si="1"/>
        <v>363919753.16006243</v>
      </c>
    </row>
    <row r="10" spans="1:20" s="4" customFormat="1">
      <c r="A10" s="10"/>
      <c r="B10" s="65"/>
      <c r="C10" s="13"/>
      <c r="D10" s="24"/>
      <c r="E10" s="24"/>
      <c r="F10" s="71"/>
      <c r="G10" s="71"/>
      <c r="H10" s="71"/>
      <c r="I10" s="71"/>
      <c r="J10" s="71"/>
      <c r="K10" s="71"/>
      <c r="L10"/>
      <c r="M10"/>
      <c r="N10"/>
      <c r="O10"/>
      <c r="P10"/>
      <c r="Q10"/>
      <c r="R10"/>
      <c r="S10"/>
      <c r="T10"/>
    </row>
    <row r="11" spans="1:20" ht="15.75">
      <c r="A11" s="8"/>
      <c r="B11" s="28" t="s">
        <v>165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20">
      <c r="A12" s="46">
        <f>MAX(A$5:A11)+1</f>
        <v>6</v>
      </c>
      <c r="B12" s="25"/>
      <c r="C12" s="25" t="s">
        <v>166</v>
      </c>
      <c r="D12" s="57"/>
      <c r="E12" s="57">
        <f>+E5/E4</f>
        <v>0.39900412395768614</v>
      </c>
      <c r="F12" s="57">
        <f t="shared" ref="F12:K12" si="2">+F5/F4</f>
        <v>0.41580960355225755</v>
      </c>
      <c r="G12" s="57">
        <f t="shared" si="2"/>
        <v>0.41865776842720981</v>
      </c>
      <c r="H12" s="57">
        <f t="shared" si="2"/>
        <v>0.42478697636701074</v>
      </c>
      <c r="I12" s="57">
        <f t="shared" si="2"/>
        <v>0.43102784918593423</v>
      </c>
      <c r="J12" s="57">
        <f t="shared" si="2"/>
        <v>0.43657739089624953</v>
      </c>
      <c r="K12" s="57">
        <f t="shared" si="2"/>
        <v>0.44219838370480069</v>
      </c>
    </row>
    <row r="13" spans="1:20">
      <c r="A13" s="44">
        <f>MAX(A$5:A12)+1</f>
        <v>7</v>
      </c>
      <c r="B13" s="58"/>
      <c r="C13" s="58" t="s">
        <v>167</v>
      </c>
      <c r="D13" s="59"/>
      <c r="E13" s="59">
        <f>+E6/E4</f>
        <v>0.37252820581911578</v>
      </c>
      <c r="F13" s="59">
        <f t="shared" ref="F13:K13" si="3">+F6/F4</f>
        <v>0.35310296108626987</v>
      </c>
      <c r="G13" s="59">
        <f t="shared" si="3"/>
        <v>0.34265790145175806</v>
      </c>
      <c r="H13" s="59">
        <f t="shared" si="3"/>
        <v>0.33322384281979445</v>
      </c>
      <c r="I13" s="59">
        <f t="shared" si="3"/>
        <v>0.32563972543586467</v>
      </c>
      <c r="J13" s="59">
        <f t="shared" si="3"/>
        <v>0.31722549652607956</v>
      </c>
      <c r="K13" s="59">
        <f t="shared" si="3"/>
        <v>0.30902868349837548</v>
      </c>
    </row>
    <row r="14" spans="1:20">
      <c r="A14" s="46">
        <f>MAX(A$5:A13)+1</f>
        <v>8</v>
      </c>
      <c r="B14" s="25"/>
      <c r="C14" s="25" t="s">
        <v>168</v>
      </c>
      <c r="D14" s="57"/>
      <c r="E14" s="57">
        <f>+E7/E4</f>
        <v>5.3957484317269488E-2</v>
      </c>
      <c r="F14" s="57">
        <f t="shared" ref="F14:K14" si="4">+F7/F4</f>
        <v>6.3645515160973762E-2</v>
      </c>
      <c r="G14" s="57">
        <f t="shared" si="4"/>
        <v>6.963541657885905E-2</v>
      </c>
      <c r="H14" s="57">
        <f t="shared" si="4"/>
        <v>6.7607994022503629E-2</v>
      </c>
      <c r="I14" s="57">
        <f t="shared" si="4"/>
        <v>6.563914469628708E-2</v>
      </c>
      <c r="J14" s="57">
        <f t="shared" si="4"/>
        <v>6.4224521873157386E-2</v>
      </c>
      <c r="K14" s="57">
        <f t="shared" si="4"/>
        <v>6.2353208427215305E-2</v>
      </c>
    </row>
    <row r="15" spans="1:20">
      <c r="A15" s="53"/>
      <c r="B15" s="29"/>
      <c r="C15" s="40"/>
      <c r="D15" s="40"/>
      <c r="E15" s="59">
        <f>SUM(E12:E14)</f>
        <v>0.82548981409407141</v>
      </c>
      <c r="F15" s="59">
        <f t="shared" ref="F15:K15" si="5">SUM(F12:F14)</f>
        <v>0.83255807979950114</v>
      </c>
      <c r="G15" s="59">
        <f t="shared" si="5"/>
        <v>0.83095108645782689</v>
      </c>
      <c r="H15" s="59">
        <f t="shared" si="5"/>
        <v>0.82561881320930874</v>
      </c>
      <c r="I15" s="59">
        <f t="shared" si="5"/>
        <v>0.82230671931808597</v>
      </c>
      <c r="J15" s="59">
        <f t="shared" si="5"/>
        <v>0.81802740929548645</v>
      </c>
      <c r="K15" s="59">
        <f t="shared" si="5"/>
        <v>0.81358027563039148</v>
      </c>
    </row>
    <row r="16" spans="1:20" ht="15.75">
      <c r="A16" s="8"/>
      <c r="B16" s="28" t="s">
        <v>169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4">
      <c r="A17" s="125">
        <f>MAX(A$5:A16)+1</f>
        <v>9</v>
      </c>
      <c r="B17" s="25"/>
      <c r="C17" s="25" t="s">
        <v>170</v>
      </c>
      <c r="D17" s="25"/>
      <c r="E17" s="57">
        <f>+E4/E9</f>
        <v>0.54779818122198953</v>
      </c>
      <c r="F17" s="57">
        <f t="shared" ref="F17:K17" si="6">+F4/F9</f>
        <v>0.5456852969753675</v>
      </c>
      <c r="G17" s="57">
        <f t="shared" si="6"/>
        <v>0.54616423529620783</v>
      </c>
      <c r="H17" s="57">
        <f t="shared" si="6"/>
        <v>0.5477594735354806</v>
      </c>
      <c r="I17" s="57">
        <f t="shared" si="6"/>
        <v>0.54875504183741564</v>
      </c>
      <c r="J17" s="57">
        <f t="shared" si="6"/>
        <v>0.55004671265518223</v>
      </c>
      <c r="K17" s="57">
        <f t="shared" si="6"/>
        <v>0.5513954984167464</v>
      </c>
    </row>
    <row r="18" spans="1:14">
      <c r="A18" s="126">
        <f>MAX(A$5:A17)+1</f>
        <v>10</v>
      </c>
      <c r="B18" s="58"/>
      <c r="C18" s="58" t="s">
        <v>171</v>
      </c>
      <c r="D18" s="58"/>
      <c r="E18" s="59">
        <f>+E5/E9</f>
        <v>0.21857373340409372</v>
      </c>
      <c r="F18" s="59">
        <f t="shared" ref="F18:K18" si="7">+F5/F9</f>
        <v>0.22690118699962347</v>
      </c>
      <c r="G18" s="59">
        <f t="shared" si="7"/>
        <v>0.22865589994386393</v>
      </c>
      <c r="H18" s="59">
        <f t="shared" si="7"/>
        <v>0.23268109053952246</v>
      </c>
      <c r="I18" s="59">
        <f t="shared" si="7"/>
        <v>0.23652870541311863</v>
      </c>
      <c r="J18" s="59">
        <f t="shared" si="7"/>
        <v>0.24013795868205859</v>
      </c>
      <c r="K18" s="59">
        <f t="shared" si="7"/>
        <v>0.24382619818198825</v>
      </c>
    </row>
    <row r="19" spans="1:14">
      <c r="A19" s="125">
        <f>MAX(A$5:A18)+1</f>
        <v>11</v>
      </c>
      <c r="B19" s="25"/>
      <c r="C19" s="25" t="s">
        <v>172</v>
      </c>
      <c r="D19" s="25"/>
      <c r="E19" s="57">
        <f>+E6/E9</f>
        <v>0.2040702736016026</v>
      </c>
      <c r="F19" s="57">
        <f t="shared" ref="F19:K19" si="8">+F6/F9</f>
        <v>0.19268309418324278</v>
      </c>
      <c r="G19" s="57">
        <f t="shared" si="8"/>
        <v>0.18714749071460279</v>
      </c>
      <c r="H19" s="57">
        <f t="shared" si="8"/>
        <v>0.18252651671244033</v>
      </c>
      <c r="I19" s="57">
        <f t="shared" si="8"/>
        <v>0.17869644115548247</v>
      </c>
      <c r="J19" s="57">
        <f t="shared" si="8"/>
        <v>0.174488841534578</v>
      </c>
      <c r="K19" s="57">
        <f t="shared" si="8"/>
        <v>0.17039702496265771</v>
      </c>
    </row>
    <row r="20" spans="1:14">
      <c r="A20" s="12">
        <f>MAX(A$5:A19)+1</f>
        <v>12</v>
      </c>
      <c r="B20" s="29"/>
      <c r="C20" s="58" t="s">
        <v>173</v>
      </c>
      <c r="D20" s="40"/>
      <c r="E20" s="127">
        <f>+E7/E9</f>
        <v>2.9557811772314251E-2</v>
      </c>
      <c r="F20" s="127">
        <f t="shared" ref="F20:K20" si="9">+F7/F9</f>
        <v>3.4730421841766224E-2</v>
      </c>
      <c r="G20" s="127">
        <f t="shared" si="9"/>
        <v>3.8032374045325425E-2</v>
      </c>
      <c r="H20" s="127">
        <f t="shared" si="9"/>
        <v>3.7032919212556512E-2</v>
      </c>
      <c r="I20" s="127">
        <f t="shared" si="9"/>
        <v>3.6019811593983195E-2</v>
      </c>
      <c r="J20" s="127">
        <f t="shared" si="9"/>
        <v>3.5326487128181074E-2</v>
      </c>
      <c r="K20" s="127">
        <f t="shared" si="9"/>
        <v>3.4381278438607658E-2</v>
      </c>
    </row>
    <row r="21" spans="1:14" ht="15.75">
      <c r="A21" s="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4" ht="15.75" thickBot="1">
      <c r="A22" s="36"/>
      <c r="B22" s="36"/>
      <c r="C22" s="21"/>
      <c r="D22" s="21"/>
      <c r="E22" s="21"/>
      <c r="F22" s="21"/>
      <c r="G22" s="21"/>
      <c r="H22" s="21"/>
      <c r="I22" s="21"/>
      <c r="J22" s="21"/>
      <c r="K22" s="21"/>
    </row>
    <row r="23" spans="1:14" ht="18" thickTop="1">
      <c r="A23" s="51"/>
      <c r="B23" s="68" t="s">
        <v>174</v>
      </c>
      <c r="C23" s="68"/>
      <c r="D23" s="56"/>
      <c r="E23" s="56"/>
      <c r="F23" s="56"/>
      <c r="G23" s="56"/>
      <c r="H23" s="56"/>
      <c r="I23" s="56"/>
      <c r="J23" s="56"/>
      <c r="K23" s="56"/>
    </row>
    <row r="24" spans="1:14" ht="15.75">
      <c r="A24" s="8"/>
      <c r="B24" s="28" t="s">
        <v>24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1:14">
      <c r="A25" s="10">
        <f>MAX(A$5:A24)+1</f>
        <v>13</v>
      </c>
      <c r="B25" s="65"/>
      <c r="C25" s="60" t="s">
        <v>175</v>
      </c>
      <c r="D25" s="24"/>
      <c r="E25" s="24">
        <v>135511669</v>
      </c>
      <c r="F25" s="24">
        <v>147985738.47818953</v>
      </c>
      <c r="G25" s="24">
        <v>152795274.97873071</v>
      </c>
      <c r="H25" s="24">
        <v>157379133.22809261</v>
      </c>
      <c r="I25" s="24">
        <v>162100507.22493538</v>
      </c>
      <c r="J25" s="24">
        <v>166963522.44168344</v>
      </c>
      <c r="K25" s="24">
        <v>171972428.11493394</v>
      </c>
      <c r="M25" t="s">
        <v>161</v>
      </c>
      <c r="N25" t="s">
        <v>176</v>
      </c>
    </row>
    <row r="26" spans="1:14">
      <c r="A26" s="12">
        <f>MAX(A$5:A25)+1</f>
        <v>14</v>
      </c>
      <c r="B26" s="18"/>
      <c r="C26" s="66" t="s">
        <v>177</v>
      </c>
      <c r="D26" s="18"/>
      <c r="E26" s="62">
        <v>22785542</v>
      </c>
      <c r="F26" s="62">
        <v>24689429.16251269</v>
      </c>
      <c r="G26" s="62">
        <v>25491835.610294349</v>
      </c>
      <c r="H26" s="62">
        <v>26256590.678603187</v>
      </c>
      <c r="I26" s="62">
        <v>27044288.398961276</v>
      </c>
      <c r="J26" s="62">
        <v>27855617.050930116</v>
      </c>
      <c r="K26" s="62">
        <v>28691285.56245802</v>
      </c>
      <c r="M26" t="s">
        <v>161</v>
      </c>
      <c r="N26" t="s">
        <v>178</v>
      </c>
    </row>
    <row r="27" spans="1:14">
      <c r="A27" s="10"/>
      <c r="B27" s="65"/>
      <c r="C27" s="60"/>
      <c r="D27" s="24"/>
      <c r="E27" s="24"/>
      <c r="F27" s="24"/>
      <c r="G27" s="24"/>
      <c r="H27" s="24"/>
      <c r="I27" s="24"/>
      <c r="J27" s="24"/>
      <c r="K27" s="24"/>
    </row>
    <row r="28" spans="1:14" s="4" customFormat="1">
      <c r="A28" s="34">
        <f>MAX(A$5:A27)+1</f>
        <v>15</v>
      </c>
      <c r="B28" s="35"/>
      <c r="C28" s="67" t="s">
        <v>88</v>
      </c>
      <c r="D28" s="35"/>
      <c r="E28" s="64">
        <f t="shared" ref="E28:J28" si="10">SUM(E25:E27)</f>
        <v>158297211</v>
      </c>
      <c r="F28" s="64">
        <f t="shared" si="10"/>
        <v>172675167.64070222</v>
      </c>
      <c r="G28" s="64">
        <f t="shared" si="10"/>
        <v>178287110.58902505</v>
      </c>
      <c r="H28" s="64">
        <f t="shared" si="10"/>
        <v>183635723.90669578</v>
      </c>
      <c r="I28" s="64">
        <f t="shared" si="10"/>
        <v>189144795.62389666</v>
      </c>
      <c r="J28" s="64">
        <f t="shared" si="10"/>
        <v>194819139.49261355</v>
      </c>
      <c r="K28" s="64">
        <f t="shared" ref="K28" si="11">SUM(K25:K27)</f>
        <v>200663713.67739195</v>
      </c>
    </row>
    <row r="29" spans="1:14">
      <c r="A29" s="10"/>
      <c r="B29" s="65"/>
      <c r="C29" s="60"/>
      <c r="D29" s="24"/>
      <c r="E29" s="24"/>
      <c r="F29" s="24"/>
      <c r="G29" s="24"/>
      <c r="H29" s="24"/>
      <c r="I29" s="24"/>
      <c r="J29" s="24"/>
      <c r="K29" s="24"/>
    </row>
    <row r="30" spans="1:14" s="4" customFormat="1">
      <c r="A30" s="34">
        <f>MAX(A$5:A29)+1</f>
        <v>16</v>
      </c>
      <c r="B30" s="35"/>
      <c r="C30" s="67" t="s">
        <v>179</v>
      </c>
      <c r="D30" s="35"/>
      <c r="E30" s="64">
        <f>+E4-E28</f>
        <v>0</v>
      </c>
      <c r="F30" s="64">
        <f t="shared" ref="F30:K30" si="12">+F4-F28</f>
        <v>0</v>
      </c>
      <c r="G30" s="64">
        <f t="shared" si="12"/>
        <v>0</v>
      </c>
      <c r="H30" s="64">
        <f t="shared" si="12"/>
        <v>0</v>
      </c>
      <c r="I30" s="64">
        <f t="shared" si="12"/>
        <v>0</v>
      </c>
      <c r="J30" s="64">
        <f t="shared" si="12"/>
        <v>0</v>
      </c>
      <c r="K30" s="64">
        <f t="shared" si="12"/>
        <v>0</v>
      </c>
    </row>
    <row r="31" spans="1:14" ht="15.75">
      <c r="A31" s="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3" spans="1:1">
      <c r="A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2"/>
  <sheetViews>
    <sheetView zoomScaleNormal="100" workbookViewId="0"/>
  </sheetViews>
  <sheetFormatPr defaultRowHeight="15"/>
  <cols>
    <col min="2" max="2" width="22" customWidth="1"/>
    <col min="3" max="14" width="12.5703125" customWidth="1"/>
  </cols>
  <sheetData>
    <row r="1" spans="1:9" ht="19.5" thickTop="1">
      <c r="A1" s="61" t="s">
        <v>180</v>
      </c>
      <c r="B1" s="61"/>
      <c r="C1" s="61"/>
      <c r="D1" s="61"/>
      <c r="E1" s="61"/>
      <c r="F1" s="61"/>
      <c r="G1" s="61"/>
      <c r="H1" s="61"/>
      <c r="I1" s="124"/>
    </row>
    <row r="2" spans="1:9" ht="15.75" thickBot="1">
      <c r="A2" t="s">
        <v>54</v>
      </c>
    </row>
    <row r="3" spans="1:9" ht="18" thickTop="1">
      <c r="A3" s="51" t="s">
        <v>120</v>
      </c>
      <c r="B3" s="56" t="s">
        <v>15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</row>
    <row r="4" spans="1:9" ht="15.75">
      <c r="A4" s="8"/>
      <c r="B4" s="7"/>
      <c r="C4" s="28"/>
      <c r="D4" s="28"/>
      <c r="E4" s="28"/>
      <c r="F4" s="28"/>
      <c r="G4" s="28"/>
      <c r="H4" s="28"/>
      <c r="I4" s="28"/>
    </row>
    <row r="5" spans="1:9">
      <c r="A5" s="52">
        <v>1</v>
      </c>
      <c r="B5" s="13" t="s">
        <v>181</v>
      </c>
      <c r="C5" s="24">
        <f>'OM Adj 1'!C12+'OM Adj 2'!C20+'OM Adj 3'!C24+'OM Adj 4'!C19+'OM Adj 5'!C20+'OM Adj 6'!C34+'OM Adj 7'!C25+'OM Adj 8'!C31+'OM Adj 9'!C30+'OM Adj 10'!C34+'OM Adj 11'!C39</f>
        <v>0</v>
      </c>
      <c r="D5" s="24">
        <f>'OM Adj 1'!D12+'OM Adj 2'!D20+'OM Adj 3'!D24+'OM Adj 4'!D19+'OM Adj 5'!D20+'OM Adj 6'!D34+'OM Adj 7'!D25+'OM Adj 8'!D31+'OM Adj 9'!D30+'OM Adj 10'!D34+'OM Adj 11'!D39</f>
        <v>0</v>
      </c>
      <c r="E5" s="24">
        <f>'OM Adj 1'!E12+'OM Adj 2'!E20+'OM Adj 3'!E24+'OM Adj 4'!E19+'OM Adj 5'!E20+'OM Adj 6'!E34+'OM Adj 7'!E25+'OM Adj 8'!E31+'OM Adj 9'!E30+'OM Adj 10'!E34+'OM Adj 11'!E39</f>
        <v>30466030.530587986</v>
      </c>
      <c r="F5" s="24">
        <f>'OM Adj 1'!F12+'OM Adj 2'!F20+'OM Adj 3'!F24+'OM Adj 4'!F19+'OM Adj 5'!F20+'OM Adj 6'!F34+'OM Adj 7'!F25+'OM Adj 8'!F31+'OM Adj 9'!F30+'OM Adj 10'!F34+'OM Adj 11'!F39</f>
        <v>41517553.549022496</v>
      </c>
      <c r="G5" s="24">
        <f>'OM Adj 1'!G12+'OM Adj 2'!G20+'OM Adj 3'!G24+'OM Adj 4'!G19+'OM Adj 5'!G20+'OM Adj 6'!G34+'OM Adj 7'!G25+'OM Adj 8'!G31+'OM Adj 9'!G30+'OM Adj 10'!G34+'OM Adj 11'!G39</f>
        <v>53053210.869236901</v>
      </c>
      <c r="H5" s="24">
        <f>'OM Adj 1'!H12+'OM Adj 2'!H20+'OM Adj 3'!H24+'OM Adj 4'!H19+'OM Adj 5'!H20+'OM Adj 6'!H34+'OM Adj 7'!H25+'OM Adj 8'!H31+'OM Adj 9'!H30+'OM Adj 10'!H34+'OM Adj 11'!H39</f>
        <v>58835116.063836753</v>
      </c>
      <c r="I5" s="24">
        <f>'OM Adj 1'!I12+'OM Adj 2'!I20+'OM Adj 3'!I24+'OM Adj 4'!I19+'OM Adj 5'!I20+'OM Adj 6'!I34+'OM Adj 7'!I25+'OM Adj 8'!I31+'OM Adj 9'!I30+'OM Adj 10'!I34+'OM Adj 11'!I39</f>
        <v>65783712.24113322</v>
      </c>
    </row>
    <row r="6" spans="1:9">
      <c r="A6" s="16"/>
      <c r="B6" s="16"/>
      <c r="C6" s="16"/>
      <c r="D6" s="16"/>
      <c r="E6" s="16"/>
      <c r="F6" s="16"/>
      <c r="G6" s="16"/>
      <c r="H6" s="16"/>
      <c r="I6" s="16"/>
    </row>
    <row r="7" spans="1:9">
      <c r="A7" s="52">
        <v>2</v>
      </c>
      <c r="B7" s="13" t="s">
        <v>182</v>
      </c>
      <c r="C7" s="24">
        <f>+'OM Adj 2'!C22+'OM Adj 6'!C46+'OM Adj 7'!C37+'OM Adj 8'!C43+'OM Adj 11'!C52</f>
        <v>0</v>
      </c>
      <c r="D7" s="24">
        <f>+'OM Adj 2'!D22+'OM Adj 6'!D46+'OM Adj 7'!D37+'OM Adj 8'!D43+'OM Adj 11'!D52</f>
        <v>0</v>
      </c>
      <c r="E7" s="24">
        <f>+'OM Adj 2'!E22+'OM Adj 6'!E46+'OM Adj 7'!E37+'OM Adj 8'!E43+'OM Adj 11'!E52</f>
        <v>1483000</v>
      </c>
      <c r="F7" s="24">
        <f>+'OM Adj 2'!F22+'OM Adj 6'!F46+'OM Adj 7'!F37+'OM Adj 8'!F43+'OM Adj 11'!F52</f>
        <v>6569000</v>
      </c>
      <c r="G7" s="24">
        <f>+'OM Adj 2'!G22+'OM Adj 6'!G46+'OM Adj 7'!G37+'OM Adj 8'!G43+'OM Adj 11'!G52</f>
        <v>8394000</v>
      </c>
      <c r="H7" s="24">
        <f>+'OM Adj 2'!H22+'OM Adj 6'!H46+'OM Adj 7'!H37+'OM Adj 8'!H43+'OM Adj 11'!H52</f>
        <v>9273000</v>
      </c>
      <c r="I7" s="24">
        <f>+'OM Adj 2'!I22+'OM Adj 6'!I46+'OM Adj 7'!I37+'OM Adj 8'!I43+'OM Adj 11'!I52</f>
        <v>10765000</v>
      </c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 s="4" customFormat="1">
      <c r="A9" s="54">
        <v>3</v>
      </c>
      <c r="B9" s="26" t="s">
        <v>138</v>
      </c>
      <c r="C9" s="30">
        <f t="shared" ref="C9:H9" si="1">+C7+C5</f>
        <v>0</v>
      </c>
      <c r="D9" s="30">
        <f t="shared" si="1"/>
        <v>0</v>
      </c>
      <c r="E9" s="30">
        <f t="shared" si="1"/>
        <v>31949030.530587986</v>
      </c>
      <c r="F9" s="30">
        <f t="shared" si="1"/>
        <v>48086553.549022496</v>
      </c>
      <c r="G9" s="30">
        <f t="shared" si="1"/>
        <v>61447210.869236901</v>
      </c>
      <c r="H9" s="30">
        <f t="shared" si="1"/>
        <v>68108116.063836753</v>
      </c>
      <c r="I9" s="30">
        <f t="shared" ref="I9" si="2">+I7+I5</f>
        <v>76548712.241133213</v>
      </c>
    </row>
    <row r="10" spans="1:9" ht="15.75">
      <c r="A10" s="8"/>
      <c r="B10" s="28"/>
      <c r="C10" s="28"/>
      <c r="D10" s="28"/>
      <c r="E10" s="28"/>
      <c r="F10" s="28"/>
      <c r="G10" s="28"/>
      <c r="H10" s="28"/>
      <c r="I10" s="28"/>
    </row>
    <row r="13" spans="1:9">
      <c r="E13" s="1"/>
      <c r="F13" s="1"/>
      <c r="G13" s="1"/>
      <c r="H13" s="1"/>
      <c r="I13" s="1"/>
    </row>
    <row r="14" spans="1:9">
      <c r="E14" s="1"/>
      <c r="F14" s="1"/>
      <c r="G14" s="1"/>
      <c r="H14" s="1"/>
      <c r="I14" s="1"/>
    </row>
    <row r="15" spans="1:9">
      <c r="E15" s="1"/>
      <c r="F15" s="1"/>
      <c r="G15" s="1"/>
      <c r="H15" s="1"/>
      <c r="I15" s="1"/>
    </row>
    <row r="16" spans="1:9">
      <c r="E16" s="1"/>
      <c r="F16" s="1"/>
      <c r="G16" s="1"/>
      <c r="H16" s="1"/>
      <c r="I16" s="1"/>
    </row>
    <row r="17" spans="5:9">
      <c r="E17" s="1"/>
      <c r="F17" s="1"/>
      <c r="G17" s="1"/>
      <c r="H17" s="1"/>
      <c r="I17" s="1"/>
    </row>
    <row r="18" spans="5:9">
      <c r="E18" s="1"/>
      <c r="F18" s="1"/>
      <c r="G18" s="1"/>
      <c r="H18" s="1"/>
      <c r="I18" s="1"/>
    </row>
    <row r="19" spans="5:9">
      <c r="E19" s="1"/>
      <c r="F19" s="1"/>
      <c r="G19" s="1"/>
      <c r="H19" s="1"/>
      <c r="I19" s="1"/>
    </row>
    <row r="20" spans="5:9">
      <c r="E20" s="1"/>
      <c r="F20" s="1"/>
      <c r="G20" s="1"/>
      <c r="H20" s="1"/>
      <c r="I20" s="1"/>
    </row>
    <row r="21" spans="5:9">
      <c r="E21" s="1"/>
      <c r="F21" s="1"/>
      <c r="G21" s="1"/>
      <c r="H21" s="1"/>
      <c r="I21" s="1"/>
    </row>
    <row r="22" spans="5:9">
      <c r="E22" s="1"/>
      <c r="F22" s="1"/>
      <c r="G22" s="1"/>
      <c r="H22" s="1"/>
      <c r="I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workbookViewId="0"/>
  </sheetViews>
  <sheetFormatPr defaultRowHeight="15"/>
  <cols>
    <col min="1" max="1" width="10.5703125" customWidth="1"/>
    <col min="2" max="2" width="25.5703125" customWidth="1"/>
    <col min="3" max="5" width="12.5703125" customWidth="1"/>
    <col min="6" max="6" width="18.140625" bestFit="1" customWidth="1"/>
    <col min="7" max="9" width="12.5703125" customWidth="1"/>
    <col min="10" max="10" width="12.5703125" hidden="1" customWidth="1"/>
    <col min="11" max="11" width="12.5703125" customWidth="1"/>
    <col min="12" max="12" width="28.140625" customWidth="1"/>
    <col min="13" max="13" width="12.5703125" customWidth="1"/>
    <col min="14" max="14" width="18" customWidth="1"/>
    <col min="15" max="15" width="13.5703125" customWidth="1"/>
    <col min="16" max="21" width="12.42578125" customWidth="1"/>
  </cols>
  <sheetData>
    <row r="1" spans="1:21" ht="19.5" thickTop="1">
      <c r="A1" s="9" t="s">
        <v>14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#2 - Shift Capital Staff Costs to O&amp;M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N2" t="s">
        <v>4</v>
      </c>
    </row>
    <row r="3" spans="1:21" ht="18" thickTop="1">
      <c r="A3" s="19" t="s">
        <v>1</v>
      </c>
      <c r="B3" s="20" t="s">
        <v>15</v>
      </c>
      <c r="C3" s="20"/>
      <c r="D3" s="20">
        <v>2023</v>
      </c>
      <c r="E3" s="20">
        <f t="shared" ref="E3:I3" si="0">+D3+1</f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4">
        <v>1</v>
      </c>
      <c r="B6" s="29" t="s">
        <v>16</v>
      </c>
      <c r="C6" s="5"/>
      <c r="D6" s="5">
        <v>0</v>
      </c>
      <c r="E6" s="5">
        <v>0</v>
      </c>
      <c r="F6" s="117">
        <v>0.03</v>
      </c>
      <c r="G6" s="117">
        <v>0.03</v>
      </c>
      <c r="H6" s="117">
        <v>0.03</v>
      </c>
      <c r="I6" s="117">
        <v>0.03</v>
      </c>
    </row>
    <row r="7" spans="1:21">
      <c r="A7" s="130">
        <f>MAX(A$6:A6)+1</f>
        <v>2</v>
      </c>
      <c r="B7" s="16" t="s">
        <v>17</v>
      </c>
      <c r="C7" s="131"/>
      <c r="D7" s="131"/>
      <c r="E7" s="131"/>
      <c r="F7" s="131">
        <f>+F6</f>
        <v>0.03</v>
      </c>
      <c r="G7" s="131">
        <f>+(1+F6)*(1+G6)-1</f>
        <v>6.0899999999999954E-2</v>
      </c>
      <c r="H7" s="131">
        <f>+(1+G6)*(1+H6)*(1+F6)-1</f>
        <v>9.2727000000000004E-2</v>
      </c>
      <c r="I7" s="131">
        <f>+(1+H6)*(1+I6)*(1+G6)*(1+F6)-1</f>
        <v>0.12550881000000014</v>
      </c>
    </row>
    <row r="8" spans="1:21" ht="15.75">
      <c r="A8" s="8"/>
      <c r="B8" s="28" t="s">
        <v>18</v>
      </c>
      <c r="C8" s="28"/>
      <c r="D8" s="28"/>
      <c r="E8" s="28"/>
      <c r="F8" s="28"/>
      <c r="G8" s="28"/>
      <c r="H8" s="28"/>
      <c r="I8" s="28"/>
      <c r="J8" s="2"/>
    </row>
    <row r="9" spans="1:21">
      <c r="A9" s="55">
        <f>MAX(A$6:A8)+1</f>
        <v>3</v>
      </c>
      <c r="B9" s="14"/>
      <c r="C9" s="111"/>
      <c r="D9" s="111">
        <v>0</v>
      </c>
      <c r="E9" s="147">
        <v>1</v>
      </c>
      <c r="F9" s="111">
        <f t="shared" ref="F9:I9" si="2">+E9+1</f>
        <v>2</v>
      </c>
      <c r="G9" s="111">
        <f t="shared" si="2"/>
        <v>3</v>
      </c>
      <c r="H9" s="111">
        <f t="shared" si="2"/>
        <v>4</v>
      </c>
      <c r="I9" s="111">
        <f t="shared" si="2"/>
        <v>5</v>
      </c>
      <c r="J9" s="2"/>
    </row>
    <row r="10" spans="1:21" ht="15.75">
      <c r="A10" s="8"/>
      <c r="B10" s="28" t="s">
        <v>19</v>
      </c>
      <c r="C10" s="28" t="s">
        <v>20</v>
      </c>
      <c r="D10" s="28"/>
      <c r="E10" s="28"/>
      <c r="F10" s="28"/>
      <c r="G10" s="28"/>
      <c r="H10" s="28"/>
      <c r="I10" s="28"/>
    </row>
    <row r="11" spans="1:21">
      <c r="A11" s="44">
        <f>MAX(A$6:A10)+1</f>
        <v>4</v>
      </c>
      <c r="B11" s="29" t="s">
        <v>21</v>
      </c>
      <c r="C11" s="6">
        <v>681525</v>
      </c>
      <c r="D11" s="40">
        <f t="shared" ref="D11" si="3">$C11*D9</f>
        <v>0</v>
      </c>
      <c r="E11" s="40">
        <f>+E13-E12</f>
        <v>481933.05415580969</v>
      </c>
      <c r="F11" s="40">
        <f>+$E11*F9</f>
        <v>963866.10831161938</v>
      </c>
      <c r="G11" s="40">
        <f t="shared" ref="G11:I11" si="4">+$E11*G9</f>
        <v>1445799.1624674289</v>
      </c>
      <c r="H11" s="40">
        <f t="shared" si="4"/>
        <v>1927732.2166232388</v>
      </c>
      <c r="I11" s="40">
        <f t="shared" si="4"/>
        <v>2409665.2707790486</v>
      </c>
      <c r="K11" s="1"/>
      <c r="L11" s="1"/>
    </row>
    <row r="12" spans="1:21">
      <c r="A12" s="55">
        <f>MAX(A$6:A11)+1</f>
        <v>5</v>
      </c>
      <c r="B12" s="14" t="s">
        <v>22</v>
      </c>
      <c r="C12" s="111">
        <f>563072+479724</f>
        <v>1042796</v>
      </c>
      <c r="D12" s="112">
        <f t="shared" ref="D12" si="5">+$C12*D9</f>
        <v>0</v>
      </c>
      <c r="E12" s="112">
        <f>+C12/C13*E13</f>
        <v>737401.94584419031</v>
      </c>
      <c r="F12" s="112">
        <f>+$E12*F9</f>
        <v>1474803.8916883806</v>
      </c>
      <c r="G12" s="112">
        <f t="shared" ref="G12:I12" si="6">+$E12*G9</f>
        <v>2212205.8375325711</v>
      </c>
      <c r="H12" s="112">
        <f t="shared" si="6"/>
        <v>2949607.7833767612</v>
      </c>
      <c r="I12" s="112">
        <f t="shared" si="6"/>
        <v>3687009.7292209514</v>
      </c>
      <c r="J12" s="2"/>
      <c r="K12" s="1"/>
    </row>
    <row r="13" spans="1:21">
      <c r="A13" s="44">
        <f>MAX(A$6:A12)+1</f>
        <v>6</v>
      </c>
      <c r="B13" s="29" t="s">
        <v>23</v>
      </c>
      <c r="C13" s="40">
        <f>SUM(C12+C11)</f>
        <v>1724321</v>
      </c>
      <c r="D13" s="40">
        <f>SUM(D12+D11)</f>
        <v>0</v>
      </c>
      <c r="E13" s="148">
        <v>1219335</v>
      </c>
      <c r="F13" s="40">
        <f t="shared" ref="F13:I13" si="7">SUM(F12+F11)</f>
        <v>2438670</v>
      </c>
      <c r="G13" s="40">
        <f t="shared" si="7"/>
        <v>3658005</v>
      </c>
      <c r="H13" s="40">
        <f t="shared" si="7"/>
        <v>4877340</v>
      </c>
      <c r="I13" s="40">
        <f t="shared" si="7"/>
        <v>6096675</v>
      </c>
      <c r="K13" s="1"/>
    </row>
    <row r="14" spans="1:21" ht="15.75">
      <c r="A14" s="100"/>
      <c r="B14" s="101" t="s">
        <v>8</v>
      </c>
      <c r="C14" s="101"/>
      <c r="D14" s="101"/>
      <c r="E14" s="102"/>
      <c r="F14" s="102"/>
      <c r="G14" s="102"/>
      <c r="H14" s="101"/>
      <c r="I14" s="101"/>
    </row>
    <row r="15" spans="1:21" ht="15.75">
      <c r="A15" s="8"/>
      <c r="B15" s="28" t="s">
        <v>21</v>
      </c>
      <c r="C15" s="7"/>
      <c r="D15" s="7"/>
      <c r="E15" s="7"/>
      <c r="F15" s="7"/>
      <c r="G15" s="7"/>
      <c r="H15" s="7"/>
      <c r="I15" s="7"/>
    </row>
    <row r="16" spans="1:21">
      <c r="A16" s="55">
        <f>MAX(A$6:A15)+1</f>
        <v>7</v>
      </c>
      <c r="B16" s="13" t="s">
        <v>24</v>
      </c>
      <c r="C16" s="108">
        <v>0</v>
      </c>
      <c r="D16" s="108">
        <f>+D11*(1+D7)</f>
        <v>0</v>
      </c>
      <c r="E16" s="108">
        <f t="shared" ref="E16:I16" si="8">+E11*(1+E7)</f>
        <v>481933.05415580969</v>
      </c>
      <c r="F16" s="108">
        <f t="shared" si="8"/>
        <v>992782.09156096797</v>
      </c>
      <c r="G16" s="108">
        <f t="shared" si="8"/>
        <v>1533848.3314616953</v>
      </c>
      <c r="H16" s="108">
        <f t="shared" si="8"/>
        <v>2106485.0418740618</v>
      </c>
      <c r="I16" s="108">
        <f t="shared" si="8"/>
        <v>2712099.4914128552</v>
      </c>
      <c r="M16" t="s">
        <v>25</v>
      </c>
      <c r="N16" s="5">
        <v>0.95500108784270032</v>
      </c>
      <c r="P16" s="114">
        <f t="shared" ref="P16:U16" si="9">+D16*$N16</f>
        <v>0</v>
      </c>
      <c r="Q16" s="114">
        <f t="shared" si="9"/>
        <v>460246.59098615329</v>
      </c>
      <c r="R16" s="114">
        <f t="shared" si="9"/>
        <v>948107.97743147577</v>
      </c>
      <c r="S16" s="114">
        <f t="shared" si="9"/>
        <v>1464826.8251316298</v>
      </c>
      <c r="T16" s="114">
        <f t="shared" si="9"/>
        <v>2011695.5065141052</v>
      </c>
      <c r="U16" s="114">
        <f t="shared" si="9"/>
        <v>2590057.9646369112</v>
      </c>
    </row>
    <row r="17" spans="1:21" ht="15.75">
      <c r="A17" s="8"/>
      <c r="B17" s="28" t="s">
        <v>22</v>
      </c>
      <c r="C17" s="7"/>
      <c r="D17" s="7"/>
      <c r="E17" s="7"/>
      <c r="F17" s="7"/>
      <c r="G17" s="7"/>
      <c r="H17" s="7"/>
      <c r="I17" s="7"/>
    </row>
    <row r="18" spans="1:21">
      <c r="A18" s="55">
        <f>MAX(A$6:A17)+1</f>
        <v>8</v>
      </c>
      <c r="B18" s="13" t="s">
        <v>24</v>
      </c>
      <c r="C18" s="108">
        <v>0</v>
      </c>
      <c r="D18" s="108">
        <f>+(D12*(1+D7))</f>
        <v>0</v>
      </c>
      <c r="E18" s="108">
        <f>+(E12*(1+E7))</f>
        <v>737401.94584419031</v>
      </c>
      <c r="F18" s="108">
        <f t="shared" ref="F18:I18" si="10">+(F12*(1+F7))</f>
        <v>1519048.0084390321</v>
      </c>
      <c r="G18" s="108">
        <f t="shared" si="10"/>
        <v>2346929.1730383043</v>
      </c>
      <c r="H18" s="108">
        <f t="shared" si="10"/>
        <v>3223116.0643059383</v>
      </c>
      <c r="I18" s="108">
        <f t="shared" si="10"/>
        <v>4149761.9327938957</v>
      </c>
      <c r="J18" s="146"/>
      <c r="K18" s="146"/>
      <c r="M18" t="s">
        <v>26</v>
      </c>
      <c r="N18" s="5">
        <v>0.93547139326740736</v>
      </c>
      <c r="P18" s="114">
        <f t="shared" ref="P18:U18" si="11">+D18*$N18</f>
        <v>0</v>
      </c>
      <c r="Q18" s="114">
        <f t="shared" si="11"/>
        <v>689818.42567696201</v>
      </c>
      <c r="R18" s="114">
        <f t="shared" si="11"/>
        <v>1421025.9568945419</v>
      </c>
      <c r="S18" s="114">
        <f t="shared" si="11"/>
        <v>2195485.1034020665</v>
      </c>
      <c r="T18" s="114">
        <f t="shared" si="11"/>
        <v>3015132.8753388384</v>
      </c>
      <c r="U18" s="114">
        <f t="shared" si="11"/>
        <v>3881983.5769987549</v>
      </c>
    </row>
    <row r="19" spans="1:21">
      <c r="A19" s="12"/>
      <c r="B19" s="18"/>
      <c r="C19" s="18"/>
      <c r="D19" s="18"/>
      <c r="E19" s="18"/>
      <c r="F19" s="18"/>
      <c r="G19" s="18"/>
      <c r="H19" s="18"/>
      <c r="I19" s="18"/>
    </row>
    <row r="20" spans="1:21">
      <c r="A20" s="55">
        <f>MAX(A$6:A19)+1</f>
        <v>9</v>
      </c>
      <c r="B20" s="31" t="s">
        <v>27</v>
      </c>
      <c r="C20" s="32">
        <f t="shared" ref="C20:H20" si="12">+C16+C18</f>
        <v>0</v>
      </c>
      <c r="D20" s="32">
        <f t="shared" si="12"/>
        <v>0</v>
      </c>
      <c r="E20" s="32">
        <f t="shared" si="12"/>
        <v>1219335</v>
      </c>
      <c r="F20" s="32">
        <f t="shared" si="12"/>
        <v>2511830.1</v>
      </c>
      <c r="G20" s="32">
        <f t="shared" si="12"/>
        <v>3880777.5044999998</v>
      </c>
      <c r="H20" s="32">
        <f t="shared" si="12"/>
        <v>5329601.1061800001</v>
      </c>
      <c r="I20" s="32">
        <f t="shared" ref="I20" si="13">+I16+I18</f>
        <v>6861861.4242067505</v>
      </c>
      <c r="O20" s="32">
        <f t="shared" ref="O20:T20" si="14">+O16+O18</f>
        <v>0</v>
      </c>
      <c r="P20" s="32">
        <f t="shared" si="14"/>
        <v>0</v>
      </c>
      <c r="Q20" s="32">
        <f>+Q16+Q18</f>
        <v>1150065.0166631152</v>
      </c>
      <c r="R20" s="32">
        <f t="shared" si="14"/>
        <v>2369133.9343260177</v>
      </c>
      <c r="S20" s="32">
        <f t="shared" si="14"/>
        <v>3660311.9285336966</v>
      </c>
      <c r="T20" s="32">
        <f t="shared" si="14"/>
        <v>5026828.3818529435</v>
      </c>
      <c r="U20" s="32">
        <f t="shared" ref="U20" si="15">+U16+U18</f>
        <v>6472041.541635666</v>
      </c>
    </row>
    <row r="21" spans="1:21">
      <c r="A21" s="12"/>
      <c r="B21" s="18"/>
      <c r="C21" s="18"/>
      <c r="D21" s="18"/>
      <c r="E21" s="18"/>
      <c r="F21" s="18"/>
      <c r="G21" s="18"/>
      <c r="H21" s="18"/>
      <c r="I21" s="18"/>
    </row>
    <row r="22" spans="1:21">
      <c r="A22" s="55">
        <f>MAX(A$6:A21)+1</f>
        <v>10</v>
      </c>
      <c r="B22" s="26" t="s">
        <v>28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</row>
    <row r="23" spans="1:21">
      <c r="A23" s="12"/>
      <c r="B23" s="18"/>
      <c r="C23" s="18"/>
      <c r="D23" s="18"/>
      <c r="E23" s="18"/>
      <c r="F23" s="18"/>
      <c r="G23" s="18"/>
      <c r="H23" s="18"/>
      <c r="I23" s="18"/>
    </row>
    <row r="24" spans="1:21">
      <c r="A24" s="55">
        <f>MAX(A$6:A23)+1</f>
        <v>11</v>
      </c>
      <c r="B24" s="26" t="s">
        <v>29</v>
      </c>
      <c r="C24" s="27"/>
      <c r="D24" s="27">
        <f t="shared" ref="D24:I24" si="16">+D22+D20</f>
        <v>0</v>
      </c>
      <c r="E24" s="27">
        <f t="shared" si="16"/>
        <v>1219335</v>
      </c>
      <c r="F24" s="27">
        <f t="shared" si="16"/>
        <v>2511830.1</v>
      </c>
      <c r="G24" s="27">
        <f t="shared" si="16"/>
        <v>3880777.5044999998</v>
      </c>
      <c r="H24" s="27">
        <f t="shared" si="16"/>
        <v>5329601.1061800001</v>
      </c>
      <c r="I24" s="27">
        <f t="shared" si="16"/>
        <v>6861861.4242067505</v>
      </c>
      <c r="O24" s="27"/>
      <c r="P24" s="27">
        <f>+P22+P20</f>
        <v>0</v>
      </c>
      <c r="Q24" s="27">
        <f>+Q22+Q20</f>
        <v>1150065.0166631152</v>
      </c>
      <c r="R24" s="27">
        <f>+R22+R20</f>
        <v>2369133.9343260177</v>
      </c>
      <c r="S24" s="27">
        <f>+S22+S20</f>
        <v>3660311.9285336966</v>
      </c>
      <c r="T24" s="27">
        <f>+T22+T20</f>
        <v>5026828.3818529435</v>
      </c>
      <c r="U24" s="27">
        <f t="shared" ref="U24" si="17">+U22+U20</f>
        <v>6472041.541635666</v>
      </c>
    </row>
    <row r="25" spans="1:21">
      <c r="A25" s="23"/>
      <c r="B25" s="22"/>
      <c r="C25" s="22"/>
      <c r="D25" s="22"/>
      <c r="E25" s="22"/>
      <c r="F25" s="22"/>
      <c r="G25" s="22"/>
      <c r="H25" s="22"/>
      <c r="I25" s="119"/>
    </row>
    <row r="26" spans="1:21">
      <c r="E26" s="2"/>
      <c r="F26" s="2"/>
      <c r="G26" s="2"/>
      <c r="H26" s="2"/>
      <c r="I26" s="2"/>
    </row>
    <row r="27" spans="1:21">
      <c r="A27" t="s">
        <v>12</v>
      </c>
      <c r="B27" t="s">
        <v>30</v>
      </c>
      <c r="D27" s="1"/>
      <c r="E27" s="1"/>
      <c r="F27" s="1"/>
      <c r="G27" s="1"/>
      <c r="H27" s="1"/>
      <c r="I27" s="1"/>
    </row>
    <row r="28" spans="1:21">
      <c r="E28" s="1"/>
      <c r="F28" s="1"/>
      <c r="G28" s="1"/>
      <c r="H28" s="1"/>
      <c r="I28" s="1"/>
    </row>
    <row r="29" spans="1:21">
      <c r="E29" s="1"/>
      <c r="F29" s="1"/>
      <c r="G29" s="1"/>
      <c r="H29" s="1"/>
      <c r="I29" s="1"/>
    </row>
    <row r="30" spans="1:21">
      <c r="E30" s="1"/>
      <c r="F30" s="1"/>
      <c r="G30" s="1"/>
      <c r="H30" s="1"/>
      <c r="I30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"/>
  <sheetViews>
    <sheetView workbookViewId="0"/>
  </sheetViews>
  <sheetFormatPr defaultRowHeight="15"/>
  <cols>
    <col min="1" max="1" width="10.5703125" customWidth="1"/>
    <col min="2" max="2" width="30.5703125" customWidth="1"/>
    <col min="3" max="5" width="12.5703125" customWidth="1"/>
    <col min="6" max="9" width="13.5703125" customWidth="1"/>
    <col min="10" max="10" width="13.5703125" hidden="1" customWidth="1"/>
    <col min="11" max="11" width="13.5703125" customWidth="1"/>
    <col min="12" max="12" width="34.42578125" customWidth="1"/>
    <col min="13" max="13" width="26" bestFit="1" customWidth="1"/>
    <col min="14" max="14" width="12.5703125" customWidth="1"/>
    <col min="15" max="15" width="10.85546875" customWidth="1"/>
    <col min="16" max="20" width="11.7109375" bestFit="1" customWidth="1"/>
    <col min="21" max="21" width="11.7109375" customWidth="1"/>
  </cols>
  <sheetData>
    <row r="1" spans="1:21" ht="19.5" thickTop="1">
      <c r="A1" s="9" t="s">
        <v>31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#3 - Contract Services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N2" t="s">
        <v>4</v>
      </c>
    </row>
    <row r="3" spans="1:21" ht="18" thickTop="1">
      <c r="A3" s="19" t="s">
        <v>1</v>
      </c>
      <c r="B3" s="20" t="s">
        <v>32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8"/>
      <c r="B4" s="28" t="s">
        <v>5</v>
      </c>
      <c r="C4" s="28"/>
      <c r="D4" s="28"/>
      <c r="E4" s="28"/>
      <c r="F4" s="28"/>
      <c r="G4" s="28"/>
      <c r="H4" s="28"/>
      <c r="I4" s="28"/>
    </row>
    <row r="5" spans="1:21">
      <c r="A5" s="12">
        <v>1</v>
      </c>
      <c r="B5" s="29" t="s">
        <v>33</v>
      </c>
      <c r="C5" s="5"/>
      <c r="D5" s="5">
        <v>0</v>
      </c>
      <c r="E5" s="5">
        <v>0</v>
      </c>
      <c r="F5" s="121">
        <v>6.7000000000000004E-2</v>
      </c>
      <c r="G5" s="121">
        <v>4.6899999999999997E-2</v>
      </c>
      <c r="H5" s="121">
        <v>4.6899999999999997E-2</v>
      </c>
      <c r="I5" s="121">
        <v>4.6899999999999997E-2</v>
      </c>
    </row>
    <row r="6" spans="1:21">
      <c r="A6" s="55">
        <f>MAX(A$5:A5)+1</f>
        <v>2</v>
      </c>
      <c r="B6" s="14" t="s">
        <v>34</v>
      </c>
      <c r="C6" s="71"/>
      <c r="D6" s="71">
        <f>+D5</f>
        <v>0</v>
      </c>
      <c r="E6" s="71">
        <f>+(1+D5)*(1+E5)-1</f>
        <v>0</v>
      </c>
      <c r="F6" s="71">
        <f>+(1+D5)*(1+E5)*(1+F5)-1</f>
        <v>6.6999999999999948E-2</v>
      </c>
      <c r="G6" s="71">
        <f>+(1+D5)*(1+E5)*(1+F5)*(1+G5)-1</f>
        <v>0.11704229999999982</v>
      </c>
      <c r="H6" s="71">
        <f>+(1+D5)*(1+E5)*(1+F5)*(1+G5)*(1+H5)-1</f>
        <v>0.16943158386999979</v>
      </c>
      <c r="I6" s="71">
        <f>+(1+D5)*(1+E5)*(1+F5)*(1+G5)*(1+H5)*(1+I5)-1</f>
        <v>0.22427792515350276</v>
      </c>
    </row>
    <row r="7" spans="1:21" ht="15.75">
      <c r="A7" s="8"/>
      <c r="B7" s="28" t="s">
        <v>35</v>
      </c>
      <c r="C7" s="28"/>
      <c r="D7" s="28"/>
      <c r="E7" s="28"/>
      <c r="F7" s="28"/>
      <c r="G7" s="28"/>
      <c r="H7" s="28"/>
      <c r="I7" s="28"/>
    </row>
    <row r="8" spans="1:21">
      <c r="A8" s="137">
        <f>MAX(A$5:A7)+1</f>
        <v>3</v>
      </c>
      <c r="B8" s="60" t="s">
        <v>36</v>
      </c>
      <c r="C8" s="107"/>
      <c r="D8" s="107"/>
      <c r="E8" s="107">
        <v>1151000</v>
      </c>
      <c r="F8" s="150">
        <f>E8</f>
        <v>1151000</v>
      </c>
      <c r="G8" s="150">
        <f t="shared" ref="G8:I8" si="2">F8</f>
        <v>1151000</v>
      </c>
      <c r="H8" s="150">
        <f t="shared" si="2"/>
        <v>1151000</v>
      </c>
      <c r="I8" s="150">
        <f t="shared" si="2"/>
        <v>1151000</v>
      </c>
      <c r="L8" s="1"/>
    </row>
    <row r="9" spans="1:21">
      <c r="A9" s="136">
        <f>MAX(A$5:A8)+1</f>
        <v>4</v>
      </c>
      <c r="B9" s="29" t="s">
        <v>9</v>
      </c>
      <c r="C9" s="107"/>
      <c r="D9" s="107"/>
      <c r="E9" s="107">
        <v>1147000</v>
      </c>
      <c r="F9" s="150">
        <f>E9</f>
        <v>1147000</v>
      </c>
      <c r="G9" s="150">
        <f t="shared" ref="G9:I13" si="3">F9</f>
        <v>1147000</v>
      </c>
      <c r="H9" s="150">
        <f t="shared" si="3"/>
        <v>1147000</v>
      </c>
      <c r="I9" s="150">
        <f t="shared" si="3"/>
        <v>1147000</v>
      </c>
      <c r="L9" s="1"/>
    </row>
    <row r="10" spans="1:21">
      <c r="A10" s="10">
        <f>MAX(A$5:A9)+1</f>
        <v>5</v>
      </c>
      <c r="B10" s="25" t="s">
        <v>22</v>
      </c>
      <c r="C10" s="107"/>
      <c r="D10" s="107"/>
      <c r="E10" s="107">
        <v>1700000</v>
      </c>
      <c r="F10" s="150">
        <f t="shared" ref="F10:I13" si="4">E10</f>
        <v>1700000</v>
      </c>
      <c r="G10" s="150">
        <f t="shared" si="4"/>
        <v>1700000</v>
      </c>
      <c r="H10" s="150">
        <f t="shared" si="4"/>
        <v>1700000</v>
      </c>
      <c r="I10" s="150">
        <f t="shared" si="4"/>
        <v>1700000</v>
      </c>
      <c r="L10" s="1"/>
    </row>
    <row r="11" spans="1:21">
      <c r="A11" s="136">
        <f>MAX(A$5:A10)+1</f>
        <v>6</v>
      </c>
      <c r="B11" s="149" t="s">
        <v>37</v>
      </c>
      <c r="C11" s="107"/>
      <c r="D11" s="107"/>
      <c r="E11" s="107">
        <f>550000+800000+733000+111000+210000</f>
        <v>2404000</v>
      </c>
      <c r="F11" s="150">
        <f t="shared" si="4"/>
        <v>2404000</v>
      </c>
      <c r="G11" s="150">
        <f t="shared" si="3"/>
        <v>2404000</v>
      </c>
      <c r="H11" s="150">
        <f t="shared" si="3"/>
        <v>2404000</v>
      </c>
      <c r="I11" s="150">
        <f t="shared" si="3"/>
        <v>2404000</v>
      </c>
      <c r="L11" s="1"/>
    </row>
    <row r="12" spans="1:21">
      <c r="A12" s="10">
        <f>MAX(A$5:A11)+1</f>
        <v>7</v>
      </c>
      <c r="B12" s="25" t="s">
        <v>21</v>
      </c>
      <c r="C12" s="107"/>
      <c r="D12" s="107"/>
      <c r="E12" s="107">
        <f>1593000+650000+160000+1125000</f>
        <v>3528000</v>
      </c>
      <c r="F12" s="107">
        <f>E12-1000000</f>
        <v>2528000</v>
      </c>
      <c r="G12" s="150">
        <f t="shared" si="3"/>
        <v>2528000</v>
      </c>
      <c r="H12" s="150">
        <f t="shared" si="3"/>
        <v>2528000</v>
      </c>
      <c r="I12" s="150">
        <f t="shared" si="3"/>
        <v>2528000</v>
      </c>
      <c r="L12" s="1"/>
    </row>
    <row r="13" spans="1:21">
      <c r="A13" s="136">
        <f>MAX(A$5:A12)+1</f>
        <v>8</v>
      </c>
      <c r="B13" s="149" t="s">
        <v>38</v>
      </c>
      <c r="C13" s="107"/>
      <c r="D13" s="107"/>
      <c r="E13" s="107">
        <v>269000</v>
      </c>
      <c r="F13" s="150">
        <f t="shared" si="4"/>
        <v>269000</v>
      </c>
      <c r="G13" s="150">
        <f t="shared" si="3"/>
        <v>269000</v>
      </c>
      <c r="H13" s="150">
        <f t="shared" si="3"/>
        <v>269000</v>
      </c>
      <c r="I13" s="150">
        <f t="shared" si="3"/>
        <v>269000</v>
      </c>
      <c r="L13" s="1"/>
    </row>
    <row r="14" spans="1:21">
      <c r="A14" s="136">
        <f>MAX(A$5:A13)+1</f>
        <v>9</v>
      </c>
      <c r="B14" s="138" t="s">
        <v>23</v>
      </c>
      <c r="C14" s="139">
        <f>SUM(C8:C13)</f>
        <v>0</v>
      </c>
      <c r="D14" s="139">
        <f t="shared" ref="D14:I14" si="5">SUM(D8:D13)</f>
        <v>0</v>
      </c>
      <c r="E14" s="139">
        <f t="shared" si="5"/>
        <v>10199000</v>
      </c>
      <c r="F14" s="139">
        <f t="shared" si="5"/>
        <v>9199000</v>
      </c>
      <c r="G14" s="139">
        <f t="shared" si="5"/>
        <v>9199000</v>
      </c>
      <c r="H14" s="139">
        <f t="shared" si="5"/>
        <v>9199000</v>
      </c>
      <c r="I14" s="139">
        <f t="shared" si="5"/>
        <v>9199000</v>
      </c>
      <c r="N14" s="134"/>
      <c r="P14" s="114"/>
      <c r="Q14" s="114"/>
      <c r="R14" s="114"/>
      <c r="S14" s="114"/>
      <c r="T14" s="114"/>
      <c r="U14" s="114"/>
    </row>
    <row r="15" spans="1:21" ht="15" customHeight="1">
      <c r="A15" s="10"/>
      <c r="B15" s="25"/>
      <c r="C15" s="115"/>
      <c r="D15" s="115"/>
      <c r="E15" s="115"/>
      <c r="F15" s="115"/>
      <c r="G15" s="115"/>
      <c r="H15" s="115"/>
      <c r="I15" s="115"/>
      <c r="N15" s="134"/>
      <c r="P15" s="114"/>
      <c r="Q15" s="114"/>
      <c r="R15" s="114"/>
      <c r="S15" s="114"/>
      <c r="T15" s="114"/>
      <c r="U15" s="114"/>
    </row>
    <row r="16" spans="1:21">
      <c r="A16" s="136">
        <f>MAX(A$8:A15)+1</f>
        <v>10</v>
      </c>
      <c r="B16" s="138" t="str">
        <f>B8</f>
        <v>Human Resources and Admin</v>
      </c>
      <c r="C16" s="139">
        <f>+C8*(1+C$6)</f>
        <v>0</v>
      </c>
      <c r="D16" s="139">
        <f t="shared" ref="D16:I16" si="6">+D8*(1+D$6)</f>
        <v>0</v>
      </c>
      <c r="E16" s="139">
        <f t="shared" si="6"/>
        <v>1151000</v>
      </c>
      <c r="F16" s="139">
        <f t="shared" si="6"/>
        <v>1228117</v>
      </c>
      <c r="G16" s="139">
        <f t="shared" si="6"/>
        <v>1285715.6872999999</v>
      </c>
      <c r="H16" s="139">
        <f t="shared" si="6"/>
        <v>1346015.7530343698</v>
      </c>
      <c r="I16" s="139">
        <f t="shared" si="6"/>
        <v>1409143.8918516818</v>
      </c>
      <c r="M16" s="138" t="s">
        <v>36</v>
      </c>
      <c r="N16" s="5">
        <v>0.65494013565319964</v>
      </c>
      <c r="O16" s="114">
        <f t="shared" ref="O16:U21" si="7">+C16*$N16</f>
        <v>0</v>
      </c>
      <c r="P16" s="114">
        <f t="shared" si="7"/>
        <v>0</v>
      </c>
      <c r="Q16" s="114">
        <f t="shared" si="7"/>
        <v>753836.09613683284</v>
      </c>
      <c r="R16" s="114">
        <f t="shared" si="7"/>
        <v>804343.11457800062</v>
      </c>
      <c r="S16" s="114">
        <f t="shared" si="7"/>
        <v>842066.80665170867</v>
      </c>
      <c r="T16" s="114">
        <f t="shared" si="7"/>
        <v>881559.73988367384</v>
      </c>
      <c r="U16" s="114">
        <f t="shared" si="7"/>
        <v>922904.89168421808</v>
      </c>
    </row>
    <row r="17" spans="1:21">
      <c r="A17" s="10">
        <f>MAX(A$8:A16)+1</f>
        <v>11</v>
      </c>
      <c r="B17" s="25" t="str">
        <f t="shared" ref="B17:B21" si="8">B9</f>
        <v>Finance</v>
      </c>
      <c r="C17" s="115">
        <f>+C9*(1+C$6)</f>
        <v>0</v>
      </c>
      <c r="D17" s="115">
        <f t="shared" ref="D17:I21" si="9">+D9*(1+D$6)</f>
        <v>0</v>
      </c>
      <c r="E17" s="115">
        <f t="shared" si="9"/>
        <v>1147000</v>
      </c>
      <c r="F17" s="115">
        <f t="shared" si="9"/>
        <v>1223849</v>
      </c>
      <c r="G17" s="115">
        <f t="shared" si="9"/>
        <v>1281247.5180999998</v>
      </c>
      <c r="H17" s="115">
        <f t="shared" si="9"/>
        <v>1341338.0266988897</v>
      </c>
      <c r="I17" s="115">
        <f t="shared" si="9"/>
        <v>1404246.7801510678</v>
      </c>
      <c r="M17" s="25" t="s">
        <v>9</v>
      </c>
      <c r="N17" s="5">
        <v>1</v>
      </c>
      <c r="O17" s="114">
        <f t="shared" si="7"/>
        <v>0</v>
      </c>
      <c r="P17" s="114">
        <f t="shared" si="7"/>
        <v>0</v>
      </c>
      <c r="Q17" s="114">
        <f t="shared" si="7"/>
        <v>1147000</v>
      </c>
      <c r="R17" s="114">
        <f t="shared" si="7"/>
        <v>1223849</v>
      </c>
      <c r="S17" s="114">
        <f t="shared" si="7"/>
        <v>1281247.5180999998</v>
      </c>
      <c r="T17" s="114">
        <f t="shared" si="7"/>
        <v>1341338.0266988897</v>
      </c>
      <c r="U17" s="114">
        <f t="shared" si="7"/>
        <v>1404246.7801510678</v>
      </c>
    </row>
    <row r="18" spans="1:21">
      <c r="A18" s="136">
        <f>MAX(A$8:A17)+1</f>
        <v>12</v>
      </c>
      <c r="B18" s="138" t="str">
        <f t="shared" si="8"/>
        <v>Construction &amp; Engineering</v>
      </c>
      <c r="C18" s="139">
        <f t="shared" ref="C18:I21" si="10">+C10*(1+C$6)</f>
        <v>0</v>
      </c>
      <c r="D18" s="139">
        <f t="shared" si="10"/>
        <v>0</v>
      </c>
      <c r="E18" s="139">
        <f t="shared" si="10"/>
        <v>1700000</v>
      </c>
      <c r="F18" s="139">
        <f t="shared" si="10"/>
        <v>1813900</v>
      </c>
      <c r="G18" s="139">
        <f t="shared" si="10"/>
        <v>1898971.9099999997</v>
      </c>
      <c r="H18" s="139">
        <f t="shared" si="10"/>
        <v>1988033.6925789996</v>
      </c>
      <c r="I18" s="139">
        <f t="shared" si="10"/>
        <v>2081272.4727609546</v>
      </c>
      <c r="M18" s="138" t="s">
        <v>22</v>
      </c>
      <c r="N18" s="5">
        <v>0.76463085339168491</v>
      </c>
      <c r="O18" s="114">
        <f t="shared" si="7"/>
        <v>0</v>
      </c>
      <c r="P18" s="114">
        <f t="shared" si="7"/>
        <v>0</v>
      </c>
      <c r="Q18" s="114">
        <f t="shared" si="7"/>
        <v>1299872.4507658642</v>
      </c>
      <c r="R18" s="114">
        <f t="shared" si="7"/>
        <v>1386963.9049671772</v>
      </c>
      <c r="S18" s="114">
        <f t="shared" si="7"/>
        <v>1452012.5121101376</v>
      </c>
      <c r="T18" s="114">
        <f t="shared" si="7"/>
        <v>1520111.898928103</v>
      </c>
      <c r="U18" s="114">
        <f t="shared" si="7"/>
        <v>1591405.146987831</v>
      </c>
    </row>
    <row r="19" spans="1:21">
      <c r="A19" s="10">
        <f>MAX(A$8:A18)+1</f>
        <v>13</v>
      </c>
      <c r="B19" s="25" t="str">
        <f t="shared" si="8"/>
        <v>Operations</v>
      </c>
      <c r="C19" s="115">
        <f t="shared" si="10"/>
        <v>0</v>
      </c>
      <c r="D19" s="115">
        <f t="shared" si="9"/>
        <v>0</v>
      </c>
      <c r="E19" s="115">
        <f t="shared" si="9"/>
        <v>2404000</v>
      </c>
      <c r="F19" s="115">
        <f t="shared" si="9"/>
        <v>2565068</v>
      </c>
      <c r="G19" s="115">
        <f t="shared" si="9"/>
        <v>2685369.6891999994</v>
      </c>
      <c r="H19" s="115">
        <f t="shared" si="9"/>
        <v>2811313.5276234797</v>
      </c>
      <c r="I19" s="115">
        <f t="shared" si="9"/>
        <v>2943164.1320690205</v>
      </c>
      <c r="M19" s="25" t="s">
        <v>37</v>
      </c>
      <c r="N19" s="5">
        <v>0.84889377333255289</v>
      </c>
      <c r="O19" s="114">
        <f t="shared" si="7"/>
        <v>0</v>
      </c>
      <c r="P19" s="114">
        <f t="shared" si="7"/>
        <v>0</v>
      </c>
      <c r="Q19" s="114">
        <f t="shared" si="7"/>
        <v>2040740.6310914571</v>
      </c>
      <c r="R19" s="114">
        <f t="shared" si="7"/>
        <v>2177470.253374585</v>
      </c>
      <c r="S19" s="114">
        <f t="shared" si="7"/>
        <v>2279593.6082578525</v>
      </c>
      <c r="T19" s="114">
        <f t="shared" si="7"/>
        <v>2386506.5484851459</v>
      </c>
      <c r="U19" s="114">
        <f t="shared" si="7"/>
        <v>2498433.705609099</v>
      </c>
    </row>
    <row r="20" spans="1:21">
      <c r="A20" s="136">
        <f>MAX(A$8:A19)+1</f>
        <v>14</v>
      </c>
      <c r="B20" s="151" t="str">
        <f t="shared" si="8"/>
        <v>Planning &amp; Env Services</v>
      </c>
      <c r="C20" s="139">
        <f t="shared" si="10"/>
        <v>0</v>
      </c>
      <c r="D20" s="139">
        <f t="shared" si="9"/>
        <v>0</v>
      </c>
      <c r="E20" s="139">
        <f t="shared" si="9"/>
        <v>3528000</v>
      </c>
      <c r="F20" s="139">
        <f t="shared" si="9"/>
        <v>2697376</v>
      </c>
      <c r="G20" s="139">
        <f t="shared" si="9"/>
        <v>2823882.9343999997</v>
      </c>
      <c r="H20" s="139">
        <f t="shared" si="9"/>
        <v>2956323.0440233597</v>
      </c>
      <c r="I20" s="139">
        <f t="shared" si="9"/>
        <v>3094974.5947880549</v>
      </c>
      <c r="M20" s="151" t="s">
        <v>21</v>
      </c>
      <c r="N20" s="5">
        <v>0.95528363369831104</v>
      </c>
      <c r="O20" s="114">
        <f t="shared" si="7"/>
        <v>0</v>
      </c>
      <c r="P20" s="114">
        <f t="shared" si="7"/>
        <v>0</v>
      </c>
      <c r="Q20" s="153">
        <f t="shared" si="7"/>
        <v>3370240.6596876415</v>
      </c>
      <c r="R20" s="153">
        <f t="shared" si="7"/>
        <v>2576759.1467306153</v>
      </c>
      <c r="S20" s="153">
        <f t="shared" si="7"/>
        <v>2697609.150712281</v>
      </c>
      <c r="T20" s="153">
        <f t="shared" si="7"/>
        <v>2824127.0198806869</v>
      </c>
      <c r="U20" s="153">
        <f t="shared" si="7"/>
        <v>2956578.577113091</v>
      </c>
    </row>
    <row r="21" spans="1:21">
      <c r="A21" s="10">
        <f>MAX(A$8:A20)+1</f>
        <v>15</v>
      </c>
      <c r="B21" s="25" t="str">
        <f t="shared" si="8"/>
        <v>Public Affairs</v>
      </c>
      <c r="C21" s="115">
        <f t="shared" si="10"/>
        <v>0</v>
      </c>
      <c r="D21" s="115">
        <f t="shared" si="9"/>
        <v>0</v>
      </c>
      <c r="E21" s="115">
        <f t="shared" si="9"/>
        <v>269000</v>
      </c>
      <c r="F21" s="115">
        <f t="shared" si="9"/>
        <v>287023</v>
      </c>
      <c r="G21" s="115">
        <f t="shared" si="9"/>
        <v>300484.37869999994</v>
      </c>
      <c r="H21" s="115">
        <f t="shared" si="9"/>
        <v>314577.09606102994</v>
      </c>
      <c r="I21" s="115">
        <f t="shared" si="9"/>
        <v>329330.76186629222</v>
      </c>
      <c r="M21" s="25" t="s">
        <v>38</v>
      </c>
      <c r="N21" s="5">
        <v>0.98421520377409277</v>
      </c>
      <c r="O21" s="114">
        <f t="shared" si="7"/>
        <v>0</v>
      </c>
      <c r="P21" s="114">
        <f t="shared" si="7"/>
        <v>0</v>
      </c>
      <c r="Q21" s="114">
        <f t="shared" si="7"/>
        <v>264753.88981523097</v>
      </c>
      <c r="R21" s="114">
        <f t="shared" si="7"/>
        <v>282492.40043285146</v>
      </c>
      <c r="S21" s="114">
        <f t="shared" si="7"/>
        <v>295741.29401315213</v>
      </c>
      <c r="T21" s="114">
        <f t="shared" si="7"/>
        <v>309611.56070236891</v>
      </c>
      <c r="U21" s="114">
        <f t="shared" si="7"/>
        <v>324132.34289931</v>
      </c>
    </row>
    <row r="22" spans="1:21">
      <c r="A22" s="10">
        <f>MAX(A$8:A21)+1</f>
        <v>16</v>
      </c>
      <c r="B22" s="128" t="s">
        <v>39</v>
      </c>
      <c r="C22" s="32">
        <f>SUM(C16:C21)</f>
        <v>0</v>
      </c>
      <c r="D22" s="32">
        <f t="shared" ref="D22:I22" si="11">SUM(D16:D21)</f>
        <v>0</v>
      </c>
      <c r="E22" s="32">
        <f t="shared" si="11"/>
        <v>10199000</v>
      </c>
      <c r="F22" s="32">
        <f t="shared" si="11"/>
        <v>9815333</v>
      </c>
      <c r="G22" s="32">
        <f t="shared" si="11"/>
        <v>10275672.117699997</v>
      </c>
      <c r="H22" s="32">
        <f t="shared" si="11"/>
        <v>10757601.140020128</v>
      </c>
      <c r="I22" s="32">
        <f t="shared" si="11"/>
        <v>11262132.633487072</v>
      </c>
      <c r="N22" s="134"/>
      <c r="P22" s="114"/>
      <c r="Q22" s="114"/>
      <c r="R22" s="114"/>
      <c r="S22" s="114"/>
      <c r="T22" s="114"/>
      <c r="U22" s="114"/>
    </row>
    <row r="23" spans="1:21">
      <c r="A23" s="12"/>
      <c r="B23" s="29"/>
      <c r="C23" s="18"/>
      <c r="D23" s="18"/>
      <c r="E23" s="18"/>
      <c r="F23" s="37"/>
      <c r="G23" s="37"/>
      <c r="H23" s="37"/>
      <c r="I23" s="37"/>
    </row>
    <row r="24" spans="1:21">
      <c r="A24" s="55">
        <f>MAX(A$5:A23)+1</f>
        <v>17</v>
      </c>
      <c r="B24" s="31" t="s">
        <v>27</v>
      </c>
      <c r="C24" s="32">
        <f>+C8+C16</f>
        <v>0</v>
      </c>
      <c r="D24" s="32">
        <f>+D16</f>
        <v>0</v>
      </c>
      <c r="E24" s="32">
        <f>+E22</f>
        <v>10199000</v>
      </c>
      <c r="F24" s="32">
        <f t="shared" ref="F24:I24" si="12">+F22</f>
        <v>9815333</v>
      </c>
      <c r="G24" s="32">
        <f t="shared" si="12"/>
        <v>10275672.117699997</v>
      </c>
      <c r="H24" s="32">
        <f t="shared" si="12"/>
        <v>10757601.140020128</v>
      </c>
      <c r="I24" s="32">
        <f t="shared" si="12"/>
        <v>11262132.633487072</v>
      </c>
      <c r="O24" s="32">
        <f>SUM(O16:O18)</f>
        <v>0</v>
      </c>
      <c r="P24" s="32">
        <f t="shared" ref="P24" si="13">SUM(P16:P18)</f>
        <v>0</v>
      </c>
      <c r="Q24" s="32">
        <f>SUM(Q16:Q21)</f>
        <v>8876443.7274970282</v>
      </c>
      <c r="R24" s="32">
        <f t="shared" ref="R24:U24" si="14">SUM(R16:R21)</f>
        <v>8451877.8200832289</v>
      </c>
      <c r="S24" s="32">
        <f t="shared" si="14"/>
        <v>8848270.889845131</v>
      </c>
      <c r="T24" s="32">
        <f t="shared" si="14"/>
        <v>9263254.7945788689</v>
      </c>
      <c r="U24" s="32">
        <f t="shared" si="14"/>
        <v>9697701.4444446173</v>
      </c>
    </row>
    <row r="25" spans="1:21">
      <c r="A25" s="12"/>
      <c r="B25" s="29"/>
      <c r="C25" s="18"/>
      <c r="D25" s="18"/>
      <c r="E25" s="18"/>
      <c r="F25" s="37"/>
      <c r="G25" s="37"/>
      <c r="H25" s="37"/>
      <c r="I25" s="37"/>
      <c r="O25" s="18"/>
      <c r="P25" s="18"/>
      <c r="Q25" s="18"/>
      <c r="R25" s="37"/>
      <c r="S25" s="37"/>
      <c r="T25" s="37"/>
      <c r="U25" s="37"/>
    </row>
    <row r="26" spans="1:21" s="4" customFormat="1">
      <c r="A26" s="10">
        <f>MAX(A$5:A25)+1</f>
        <v>18</v>
      </c>
      <c r="B26" s="26" t="s">
        <v>40</v>
      </c>
      <c r="C26" s="30">
        <f>+C24</f>
        <v>0</v>
      </c>
      <c r="D26" s="30">
        <f t="shared" ref="D26:H26" si="15">+D24</f>
        <v>0</v>
      </c>
      <c r="E26" s="30">
        <f t="shared" si="15"/>
        <v>10199000</v>
      </c>
      <c r="F26" s="30">
        <f t="shared" si="15"/>
        <v>9815333</v>
      </c>
      <c r="G26" s="30">
        <f t="shared" si="15"/>
        <v>10275672.117699997</v>
      </c>
      <c r="H26" s="30">
        <f t="shared" si="15"/>
        <v>10757601.140020128</v>
      </c>
      <c r="I26" s="30">
        <f t="shared" ref="I26" si="16">+I24</f>
        <v>11262132.633487072</v>
      </c>
      <c r="N26"/>
      <c r="O26" s="30">
        <f>+O24</f>
        <v>0</v>
      </c>
      <c r="P26" s="30">
        <f t="shared" ref="P26:T26" si="17">+P24</f>
        <v>0</v>
      </c>
      <c r="Q26" s="30">
        <f t="shared" si="17"/>
        <v>8876443.7274970282</v>
      </c>
      <c r="R26" s="30">
        <f t="shared" si="17"/>
        <v>8451877.8200832289</v>
      </c>
      <c r="S26" s="30">
        <f t="shared" si="17"/>
        <v>8848270.889845131</v>
      </c>
      <c r="T26" s="30">
        <f t="shared" si="17"/>
        <v>9263254.7945788689</v>
      </c>
      <c r="U26" s="30">
        <f t="shared" ref="U26" si="18">+U24</f>
        <v>9697701.4444446173</v>
      </c>
    </row>
    <row r="27" spans="1:21" ht="15.75">
      <c r="A27" s="8"/>
      <c r="B27" s="28"/>
      <c r="C27" s="28"/>
      <c r="D27" s="28"/>
      <c r="E27" s="28"/>
      <c r="F27" s="28"/>
      <c r="G27" s="28"/>
      <c r="H27" s="28"/>
      <c r="I27" s="28"/>
      <c r="U27" s="4"/>
    </row>
    <row r="28" spans="1:21">
      <c r="U28" s="4"/>
    </row>
    <row r="29" spans="1:21">
      <c r="A29" t="s">
        <v>41</v>
      </c>
      <c r="B29" t="s">
        <v>42</v>
      </c>
      <c r="U29" s="4"/>
    </row>
    <row r="30" spans="1:21">
      <c r="F30" s="1"/>
      <c r="U30" s="4"/>
    </row>
    <row r="31" spans="1:21">
      <c r="F31" s="1"/>
      <c r="U31" s="4"/>
    </row>
    <row r="32" spans="1:21">
      <c r="E32" s="1"/>
      <c r="F32" s="1"/>
      <c r="G32" s="1"/>
      <c r="H32" s="1"/>
      <c r="I32" s="1"/>
      <c r="U32" s="4"/>
    </row>
    <row r="33" spans="21:21">
      <c r="U33" s="4"/>
    </row>
    <row r="34" spans="21:21">
      <c r="U34" s="4"/>
    </row>
    <row r="35" spans="21:21">
      <c r="U35" s="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8"/>
  <sheetViews>
    <sheetView workbookViewId="0">
      <selection activeCell="E9" sqref="E9:E11"/>
    </sheetView>
  </sheetViews>
  <sheetFormatPr defaultRowHeight="15"/>
  <cols>
    <col min="1" max="1" width="10.5703125" customWidth="1"/>
    <col min="2" max="2" width="30.5703125" customWidth="1"/>
    <col min="3" max="9" width="12.5703125" customWidth="1"/>
    <col min="10" max="10" width="12.5703125" hidden="1" customWidth="1"/>
    <col min="11" max="11" width="12.5703125" customWidth="1"/>
    <col min="12" max="12" width="18" customWidth="1"/>
    <col min="13" max="13" width="26" bestFit="1" customWidth="1"/>
    <col min="14" max="14" width="12.5703125" customWidth="1"/>
    <col min="15" max="15" width="11.42578125" customWidth="1"/>
    <col min="16" max="20" width="11.7109375" bestFit="1" customWidth="1"/>
    <col min="21" max="21" width="11.7109375" customWidth="1"/>
  </cols>
  <sheetData>
    <row r="1" spans="1:21" ht="19.5" thickTop="1">
      <c r="A1" s="9" t="s">
        <v>43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#4 - Equipment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N2" t="s">
        <v>4</v>
      </c>
    </row>
    <row r="3" spans="1:21" ht="18" thickTop="1">
      <c r="A3" s="19" t="s">
        <v>1</v>
      </c>
      <c r="B3" s="20" t="s">
        <v>44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8">
        <v>1</v>
      </c>
      <c r="B6" s="29" t="s">
        <v>45</v>
      </c>
      <c r="C6" s="5"/>
      <c r="D6" s="5">
        <v>0</v>
      </c>
      <c r="E6" s="5">
        <v>0</v>
      </c>
      <c r="F6" s="121">
        <v>9.4100000000000003E-2</v>
      </c>
      <c r="G6" s="121">
        <v>6.6299999999999998E-2</v>
      </c>
      <c r="H6" s="121">
        <v>6.6299999999999998E-2</v>
      </c>
      <c r="I6" s="121">
        <v>6.6299999999999998E-2</v>
      </c>
    </row>
    <row r="7" spans="1:21">
      <c r="A7" s="55">
        <f>MAX(A$6:A6)+1</f>
        <v>2</v>
      </c>
      <c r="B7" s="14" t="s">
        <v>34</v>
      </c>
      <c r="C7" s="71"/>
      <c r="D7" s="71">
        <f>+D6</f>
        <v>0</v>
      </c>
      <c r="E7" s="71">
        <f>+(1+D6)*(1+E6)-1</f>
        <v>0</v>
      </c>
      <c r="F7" s="71">
        <f>+(1+D6)*(1+E6)*(1+F6)-1</f>
        <v>9.4100000000000072E-2</v>
      </c>
      <c r="G7" s="71">
        <f>+(1+D6)*(1+E6)*(1+F6)*(1+G6)-1</f>
        <v>0.16663883000000013</v>
      </c>
      <c r="H7" s="71">
        <f>+(1+D6)*(1+E6)*(1+F6)*(1+G6)*(1+H6)-1</f>
        <v>0.24398698442900013</v>
      </c>
      <c r="I7" s="71">
        <f>+(1+D6)*(1+E6)*(1+F6)*(1+G6)*(1+H6)*(1+I6)-1</f>
        <v>0.32646332149664281</v>
      </c>
    </row>
    <row r="8" spans="1:21" ht="15.75">
      <c r="A8" s="8"/>
      <c r="B8" s="28" t="s">
        <v>46</v>
      </c>
      <c r="C8" s="7"/>
      <c r="D8" s="28"/>
      <c r="E8" s="7"/>
      <c r="F8" s="38"/>
      <c r="G8" s="38"/>
      <c r="H8" s="38"/>
      <c r="I8" s="38"/>
    </row>
    <row r="9" spans="1:21">
      <c r="A9" s="140">
        <f>MAX(A$6:A8)+1</f>
        <v>3</v>
      </c>
      <c r="B9" s="13" t="s">
        <v>36</v>
      </c>
      <c r="C9" s="108"/>
      <c r="D9" s="108"/>
      <c r="E9" s="108">
        <v>564000</v>
      </c>
      <c r="F9" s="122">
        <f>E9</f>
        <v>564000</v>
      </c>
      <c r="G9" s="122">
        <f t="shared" ref="G9:I9" si="2">F9</f>
        <v>564000</v>
      </c>
      <c r="H9" s="122">
        <f t="shared" si="2"/>
        <v>564000</v>
      </c>
      <c r="I9" s="122">
        <f t="shared" si="2"/>
        <v>564000</v>
      </c>
      <c r="L9" s="1"/>
    </row>
    <row r="10" spans="1:21">
      <c r="A10" s="136">
        <f>MAX(A$5:A9)+1</f>
        <v>4</v>
      </c>
      <c r="B10" s="149" t="s">
        <v>37</v>
      </c>
      <c r="C10" s="108"/>
      <c r="D10" s="108"/>
      <c r="E10" s="108">
        <v>750000</v>
      </c>
      <c r="F10" s="122">
        <f t="shared" ref="F10:I11" si="3">E10</f>
        <v>750000</v>
      </c>
      <c r="G10" s="122">
        <f t="shared" si="3"/>
        <v>750000</v>
      </c>
      <c r="H10" s="122">
        <f t="shared" si="3"/>
        <v>750000</v>
      </c>
      <c r="I10" s="122">
        <f t="shared" si="3"/>
        <v>750000</v>
      </c>
      <c r="L10" s="1"/>
    </row>
    <row r="11" spans="1:21">
      <c r="A11" s="140">
        <f>MAX(A$5:A10)+1</f>
        <v>5</v>
      </c>
      <c r="B11" s="25" t="s">
        <v>21</v>
      </c>
      <c r="C11" s="108"/>
      <c r="D11" s="108"/>
      <c r="E11" s="108">
        <v>450000</v>
      </c>
      <c r="F11" s="122">
        <f t="shared" si="3"/>
        <v>450000</v>
      </c>
      <c r="G11" s="122">
        <f t="shared" ref="G11:I11" si="4">F11</f>
        <v>450000</v>
      </c>
      <c r="H11" s="122">
        <f t="shared" si="4"/>
        <v>450000</v>
      </c>
      <c r="I11" s="122">
        <f t="shared" si="4"/>
        <v>450000</v>
      </c>
      <c r="L11" s="1"/>
    </row>
    <row r="12" spans="1:21">
      <c r="A12" s="136">
        <f>MAX(A$5:A11)+1</f>
        <v>6</v>
      </c>
      <c r="B12" s="138" t="s">
        <v>23</v>
      </c>
      <c r="C12" s="139">
        <f>SUM(C9:C11)</f>
        <v>0</v>
      </c>
      <c r="D12" s="139">
        <f t="shared" ref="D12:I12" si="5">SUM(D9:D11)</f>
        <v>0</v>
      </c>
      <c r="E12" s="139">
        <f t="shared" si="5"/>
        <v>1764000</v>
      </c>
      <c r="F12" s="139">
        <f t="shared" si="5"/>
        <v>1764000</v>
      </c>
      <c r="G12" s="139">
        <f t="shared" si="5"/>
        <v>1764000</v>
      </c>
      <c r="H12" s="139">
        <f t="shared" si="5"/>
        <v>1764000</v>
      </c>
      <c r="I12" s="139">
        <f t="shared" si="5"/>
        <v>1764000</v>
      </c>
      <c r="L12" s="1"/>
    </row>
    <row r="13" spans="1:21">
      <c r="A13" s="12"/>
      <c r="B13" s="29"/>
      <c r="C13" s="18"/>
      <c r="D13" s="18"/>
      <c r="E13" s="18"/>
      <c r="F13" s="37"/>
      <c r="G13" s="37"/>
      <c r="H13" s="37"/>
      <c r="I13" s="37"/>
    </row>
    <row r="14" spans="1:21">
      <c r="A14" s="136">
        <f>MAX(A$8:A13)+1</f>
        <v>7</v>
      </c>
      <c r="B14" s="138" t="str">
        <f>B9</f>
        <v>Human Resources and Admin</v>
      </c>
      <c r="C14" s="139">
        <f>+C9*(1+C$7)</f>
        <v>0</v>
      </c>
      <c r="D14" s="139">
        <f t="shared" ref="D14:I14" si="6">+D9*(1+D$7)</f>
        <v>0</v>
      </c>
      <c r="E14" s="139">
        <f t="shared" si="6"/>
        <v>564000</v>
      </c>
      <c r="F14" s="139">
        <f t="shared" si="6"/>
        <v>617072.4</v>
      </c>
      <c r="G14" s="139">
        <f t="shared" si="6"/>
        <v>657984.30012000003</v>
      </c>
      <c r="H14" s="139">
        <f t="shared" si="6"/>
        <v>701608.65921795613</v>
      </c>
      <c r="I14" s="139">
        <f t="shared" si="6"/>
        <v>748125.31332410651</v>
      </c>
    </row>
    <row r="15" spans="1:21">
      <c r="A15" s="10">
        <f>MAX(A$8:A14)+1</f>
        <v>8</v>
      </c>
      <c r="B15" s="152" t="str">
        <f>B10</f>
        <v>Operations</v>
      </c>
      <c r="C15" s="115">
        <f>+C10*(1+C$7)</f>
        <v>0</v>
      </c>
      <c r="D15" s="115">
        <f t="shared" ref="D15:I15" si="7">+D10*(1+D$7)</f>
        <v>0</v>
      </c>
      <c r="E15" s="115">
        <f t="shared" si="7"/>
        <v>750000</v>
      </c>
      <c r="F15" s="115">
        <f t="shared" si="7"/>
        <v>820575</v>
      </c>
      <c r="G15" s="115">
        <f t="shared" si="7"/>
        <v>874979.12250000006</v>
      </c>
      <c r="H15" s="115">
        <f t="shared" si="7"/>
        <v>932990.23832175008</v>
      </c>
      <c r="I15" s="115">
        <f t="shared" si="7"/>
        <v>994847.49112248211</v>
      </c>
      <c r="M15" s="138" t="s">
        <v>36</v>
      </c>
      <c r="N15" s="5">
        <v>0.39644234659474037</v>
      </c>
      <c r="P15" s="114">
        <f t="shared" ref="P15:U17" si="8">+D14*$N15</f>
        <v>0</v>
      </c>
      <c r="Q15" s="114">
        <f t="shared" si="8"/>
        <v>223593.48347943358</v>
      </c>
      <c r="R15" s="114">
        <f t="shared" si="8"/>
        <v>244633.63027484828</v>
      </c>
      <c r="S15" s="114">
        <f t="shared" si="8"/>
        <v>260852.83996207072</v>
      </c>
      <c r="T15" s="114">
        <f t="shared" si="8"/>
        <v>278147.38325155602</v>
      </c>
      <c r="U15" s="114">
        <f t="shared" si="8"/>
        <v>296588.55476113415</v>
      </c>
    </row>
    <row r="16" spans="1:21">
      <c r="A16" s="136">
        <f>MAX(A$8:A15)+1</f>
        <v>9</v>
      </c>
      <c r="B16" s="138" t="str">
        <f>B11</f>
        <v>Planning &amp; Env Services</v>
      </c>
      <c r="C16" s="139">
        <f>+C11*(1+C$7)</f>
        <v>0</v>
      </c>
      <c r="D16" s="139">
        <f t="shared" ref="D16:I16" si="9">+D11*(1+D$7)</f>
        <v>0</v>
      </c>
      <c r="E16" s="139">
        <f t="shared" si="9"/>
        <v>450000</v>
      </c>
      <c r="F16" s="139">
        <f t="shared" si="9"/>
        <v>492345.00000000006</v>
      </c>
      <c r="G16" s="139">
        <f t="shared" si="9"/>
        <v>524987.47350000008</v>
      </c>
      <c r="H16" s="139">
        <f t="shared" si="9"/>
        <v>559794.14299305005</v>
      </c>
      <c r="I16" s="139">
        <f t="shared" si="9"/>
        <v>596908.49467348924</v>
      </c>
      <c r="M16" s="152" t="s">
        <v>37</v>
      </c>
      <c r="N16" s="5">
        <v>0.66496837809121445</v>
      </c>
      <c r="P16" s="114">
        <f t="shared" si="8"/>
        <v>0</v>
      </c>
      <c r="Q16" s="114">
        <f t="shared" si="8"/>
        <v>498726.28356841084</v>
      </c>
      <c r="R16" s="114">
        <f t="shared" si="8"/>
        <v>545656.42685219832</v>
      </c>
      <c r="S16" s="114">
        <f t="shared" si="8"/>
        <v>581833.44795249903</v>
      </c>
      <c r="T16" s="114">
        <f t="shared" si="8"/>
        <v>620409.00555174984</v>
      </c>
      <c r="U16" s="114">
        <f t="shared" si="8"/>
        <v>661542.12261983077</v>
      </c>
    </row>
    <row r="17" spans="1:21">
      <c r="A17" s="10">
        <f>MAX(A$9:A16)+1</f>
        <v>10</v>
      </c>
      <c r="B17" s="128" t="s">
        <v>39</v>
      </c>
      <c r="C17" s="115">
        <f>SUM(C14:C16)</f>
        <v>0</v>
      </c>
      <c r="D17" s="115">
        <f t="shared" ref="D17:I17" si="10">SUM(D14:D16)</f>
        <v>0</v>
      </c>
      <c r="E17" s="115">
        <f t="shared" si="10"/>
        <v>1764000</v>
      </c>
      <c r="F17" s="115">
        <f t="shared" si="10"/>
        <v>1929992.4</v>
      </c>
      <c r="G17" s="115">
        <f t="shared" si="10"/>
        <v>2057950.8961200002</v>
      </c>
      <c r="H17" s="115">
        <f t="shared" si="10"/>
        <v>2194393.0405327561</v>
      </c>
      <c r="I17" s="115">
        <f t="shared" si="10"/>
        <v>2339881.2991200779</v>
      </c>
      <c r="M17" s="138" t="s">
        <v>21</v>
      </c>
      <c r="N17" s="5">
        <v>0.87503272876039817</v>
      </c>
      <c r="P17" s="114">
        <f t="shared" si="8"/>
        <v>0</v>
      </c>
      <c r="Q17" s="114">
        <f t="shared" si="8"/>
        <v>393764.72794217919</v>
      </c>
      <c r="R17" s="114">
        <f t="shared" si="8"/>
        <v>430817.98884153826</v>
      </c>
      <c r="S17" s="114">
        <f t="shared" si="8"/>
        <v>459381.2215017323</v>
      </c>
      <c r="T17" s="114">
        <f t="shared" si="8"/>
        <v>489838.19648729713</v>
      </c>
      <c r="U17" s="114">
        <f t="shared" si="8"/>
        <v>522314.46891440486</v>
      </c>
    </row>
    <row r="18" spans="1:21">
      <c r="A18" s="12"/>
      <c r="B18" s="29"/>
      <c r="C18" s="18"/>
      <c r="D18" s="18"/>
      <c r="E18" s="18"/>
      <c r="F18" s="37"/>
      <c r="G18" s="37"/>
      <c r="H18" s="37"/>
      <c r="I18" s="37"/>
    </row>
    <row r="19" spans="1:21">
      <c r="A19" s="10">
        <f>MAX(A$9:A18)+1</f>
        <v>11</v>
      </c>
      <c r="B19" s="31" t="s">
        <v>27</v>
      </c>
      <c r="C19" s="32">
        <f>+C17</f>
        <v>0</v>
      </c>
      <c r="D19" s="32">
        <f t="shared" ref="D19:H19" si="11">+D17</f>
        <v>0</v>
      </c>
      <c r="E19" s="32">
        <f t="shared" si="11"/>
        <v>1764000</v>
      </c>
      <c r="F19" s="32">
        <f t="shared" si="11"/>
        <v>1929992.4</v>
      </c>
      <c r="G19" s="32">
        <f t="shared" si="11"/>
        <v>2057950.8961200002</v>
      </c>
      <c r="H19" s="32">
        <f t="shared" si="11"/>
        <v>2194393.0405327561</v>
      </c>
      <c r="I19" s="32">
        <f t="shared" ref="I19" si="12">+I17</f>
        <v>2339881.2991200779</v>
      </c>
      <c r="O19" s="32">
        <f>SUM(O15:O17)</f>
        <v>0</v>
      </c>
      <c r="P19" s="32">
        <f t="shared" ref="P19:U19" si="13">SUM(P15:P17)</f>
        <v>0</v>
      </c>
      <c r="Q19" s="32">
        <f>SUM(Q15:Q17)</f>
        <v>1116084.4949900236</v>
      </c>
      <c r="R19" s="32">
        <f t="shared" si="13"/>
        <v>1221108.0459685849</v>
      </c>
      <c r="S19" s="32">
        <f t="shared" si="13"/>
        <v>1302067.509416302</v>
      </c>
      <c r="T19" s="32">
        <f t="shared" si="13"/>
        <v>1388394.5852906029</v>
      </c>
      <c r="U19" s="32">
        <f t="shared" si="13"/>
        <v>1480445.1462953696</v>
      </c>
    </row>
    <row r="20" spans="1:21">
      <c r="A20" s="12"/>
      <c r="B20" s="29"/>
      <c r="C20" s="18"/>
      <c r="D20" s="18"/>
      <c r="E20" s="18"/>
      <c r="F20" s="37"/>
      <c r="G20" s="37"/>
      <c r="H20" s="37"/>
      <c r="I20" s="37"/>
      <c r="O20" s="18"/>
      <c r="P20" s="18"/>
      <c r="Q20" s="18"/>
      <c r="R20" s="37"/>
      <c r="S20" s="37"/>
      <c r="T20" s="37"/>
      <c r="U20" s="37"/>
    </row>
    <row r="21" spans="1:21">
      <c r="A21" s="10">
        <f>MAX(A$9:A20)+1</f>
        <v>12</v>
      </c>
      <c r="B21" s="26" t="s">
        <v>40</v>
      </c>
      <c r="C21" s="30">
        <f>+C19</f>
        <v>0</v>
      </c>
      <c r="D21" s="30">
        <f t="shared" ref="D21:H21" si="14">+D19</f>
        <v>0</v>
      </c>
      <c r="E21" s="30">
        <f t="shared" si="14"/>
        <v>1764000</v>
      </c>
      <c r="F21" s="30">
        <f t="shared" si="14"/>
        <v>1929992.4</v>
      </c>
      <c r="G21" s="30">
        <f t="shared" si="14"/>
        <v>2057950.8961200002</v>
      </c>
      <c r="H21" s="30">
        <f t="shared" si="14"/>
        <v>2194393.0405327561</v>
      </c>
      <c r="I21" s="30">
        <f t="shared" ref="I21" si="15">+I19</f>
        <v>2339881.2991200779</v>
      </c>
      <c r="O21" s="30">
        <f t="shared" ref="O21:T21" si="16">+O19</f>
        <v>0</v>
      </c>
      <c r="P21" s="30">
        <f t="shared" si="16"/>
        <v>0</v>
      </c>
      <c r="Q21" s="30">
        <f t="shared" si="16"/>
        <v>1116084.4949900236</v>
      </c>
      <c r="R21" s="30">
        <f t="shared" si="16"/>
        <v>1221108.0459685849</v>
      </c>
      <c r="S21" s="30">
        <f t="shared" si="16"/>
        <v>1302067.509416302</v>
      </c>
      <c r="T21" s="30">
        <f t="shared" si="16"/>
        <v>1388394.5852906029</v>
      </c>
      <c r="U21" s="30">
        <f t="shared" ref="U21" si="17">+U19</f>
        <v>1480445.1462953696</v>
      </c>
    </row>
    <row r="22" spans="1:21">
      <c r="A22" s="23"/>
      <c r="B22" s="22"/>
      <c r="C22" s="22"/>
      <c r="D22" s="22"/>
      <c r="E22" s="22"/>
      <c r="F22" s="39"/>
      <c r="G22" s="39"/>
      <c r="H22" s="39"/>
      <c r="I22" s="120"/>
    </row>
    <row r="25" spans="1:21">
      <c r="A25" t="s">
        <v>12</v>
      </c>
      <c r="B25" t="s">
        <v>47</v>
      </c>
    </row>
    <row r="27" spans="1:21">
      <c r="E27" s="1"/>
      <c r="F27" s="1"/>
      <c r="G27" s="1"/>
      <c r="H27" s="1"/>
      <c r="I27" s="1"/>
    </row>
    <row r="35" spans="3:3">
      <c r="C35" s="114"/>
    </row>
    <row r="36" spans="3:3">
      <c r="C36" s="114"/>
    </row>
    <row r="38" spans="3:3">
      <c r="C38" s="1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2"/>
  <sheetViews>
    <sheetView showGridLines="0" tabSelected="1" workbookViewId="0">
      <selection activeCell="K10" sqref="K10"/>
    </sheetView>
  </sheetViews>
  <sheetFormatPr defaultRowHeight="15"/>
  <cols>
    <col min="1" max="1" width="10.5703125" customWidth="1"/>
    <col min="2" max="2" width="30.5703125" customWidth="1"/>
    <col min="3" max="9" width="12.5703125" customWidth="1"/>
    <col min="10" max="10" width="12.5703125" hidden="1" customWidth="1"/>
    <col min="11" max="11" width="12.5703125" customWidth="1"/>
    <col min="12" max="12" width="29.85546875" customWidth="1"/>
    <col min="13" max="13" width="8.85546875" customWidth="1"/>
    <col min="14" max="14" width="12.5703125" customWidth="1"/>
    <col min="15" max="15" width="10.140625" customWidth="1"/>
    <col min="16" max="20" width="11.7109375" bestFit="1" customWidth="1"/>
    <col min="21" max="21" width="12.140625" customWidth="1"/>
  </cols>
  <sheetData>
    <row r="1" spans="1:21" ht="19.5" thickTop="1">
      <c r="A1" s="9" t="s">
        <v>48</v>
      </c>
      <c r="B1" s="9"/>
      <c r="C1" s="9"/>
      <c r="D1" s="9"/>
      <c r="E1" s="9"/>
      <c r="F1" s="9"/>
      <c r="G1" s="9"/>
      <c r="H1" s="9"/>
      <c r="I1" s="118"/>
      <c r="K1" s="162" t="s">
        <v>49</v>
      </c>
      <c r="N1" s="9" t="str">
        <f>A1 &amp;" Application of Actual to Budget Factor"</f>
        <v>O&amp;M Adjustment #5 - Materials &amp; Supplies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B2" s="43"/>
      <c r="N2" t="s">
        <v>4</v>
      </c>
    </row>
    <row r="3" spans="1:21" ht="18" thickTop="1">
      <c r="A3" s="19" t="s">
        <v>1</v>
      </c>
      <c r="B3" s="20" t="s">
        <v>50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8">
        <v>1</v>
      </c>
      <c r="B6" s="29" t="s">
        <v>51</v>
      </c>
      <c r="C6" s="5"/>
      <c r="D6" s="5">
        <v>0</v>
      </c>
      <c r="E6" s="5">
        <v>0</v>
      </c>
      <c r="F6" s="117">
        <v>6.7000000000000004E-2</v>
      </c>
      <c r="G6" s="117">
        <v>4.6899999999999997E-2</v>
      </c>
      <c r="H6" s="117">
        <v>4.6899999999999997E-2</v>
      </c>
      <c r="I6" s="117">
        <v>4.6899999999999997E-2</v>
      </c>
    </row>
    <row r="7" spans="1:21">
      <c r="A7" s="55">
        <f>MAX(A$6:A6)+1</f>
        <v>2</v>
      </c>
      <c r="B7" s="14" t="s">
        <v>34</v>
      </c>
      <c r="C7" s="71"/>
      <c r="D7" s="71">
        <v>0</v>
      </c>
      <c r="E7" s="71">
        <v>0</v>
      </c>
      <c r="F7" s="71">
        <f>+(1+D6)*(1+E6)*(1+F6)-1</f>
        <v>6.6999999999999948E-2</v>
      </c>
      <c r="G7" s="71">
        <f>+(1+D6)*(1+E6)*(1+F6)*(1+G6)-1</f>
        <v>0.11704229999999982</v>
      </c>
      <c r="H7" s="71">
        <f>+(1+D6)*(1+E6)*(1+F6)*(1+G6)*(1+H6)-1</f>
        <v>0.16943158386999979</v>
      </c>
      <c r="I7" s="71">
        <f>+(1+D6)*(1+E6)*(1+F6)*(1+G6)*(1+H6)*(1+I6)-1</f>
        <v>0.22427792515350276</v>
      </c>
    </row>
    <row r="8" spans="1:21" ht="15.75">
      <c r="A8" s="8"/>
      <c r="B8" s="28" t="s">
        <v>37</v>
      </c>
      <c r="C8" s="28"/>
      <c r="D8" s="28"/>
      <c r="E8" s="28"/>
      <c r="F8" s="28"/>
      <c r="G8" s="28"/>
      <c r="H8" s="28"/>
      <c r="I8" s="28"/>
    </row>
    <row r="9" spans="1:21">
      <c r="A9" s="44"/>
      <c r="B9" s="16" t="s">
        <v>52</v>
      </c>
      <c r="C9" s="16"/>
      <c r="D9" s="16"/>
      <c r="E9" s="16"/>
      <c r="F9" s="109"/>
      <c r="G9" s="109"/>
      <c r="H9" s="45"/>
      <c r="I9" s="45"/>
    </row>
    <row r="10" spans="1:21">
      <c r="A10" s="46">
        <f>MAX(A$6:A9)+1</f>
        <v>3</v>
      </c>
      <c r="B10" s="60" t="s">
        <v>53</v>
      </c>
      <c r="C10" s="6"/>
      <c r="D10" s="6"/>
      <c r="E10" s="6">
        <f>398000+150000+227000</f>
        <v>775000</v>
      </c>
      <c r="F10" s="123">
        <f>E10</f>
        <v>775000</v>
      </c>
      <c r="G10" s="123">
        <f t="shared" ref="G10:I10" si="2">F10</f>
        <v>775000</v>
      </c>
      <c r="H10" s="123">
        <f t="shared" si="2"/>
        <v>775000</v>
      </c>
      <c r="I10" s="123">
        <f t="shared" si="2"/>
        <v>775000</v>
      </c>
      <c r="J10" s="1"/>
      <c r="K10" s="164" t="s">
        <v>183</v>
      </c>
      <c r="L10" s="1"/>
      <c r="M10" s="1"/>
    </row>
    <row r="11" spans="1:21">
      <c r="A11" s="44">
        <f>MAX(A$6:A10)+1</f>
        <v>4</v>
      </c>
      <c r="B11" s="16" t="s">
        <v>23</v>
      </c>
      <c r="C11" s="17">
        <f t="shared" ref="C11:H11" si="3">SUM(C10:C10)</f>
        <v>0</v>
      </c>
      <c r="D11" s="17">
        <f t="shared" si="3"/>
        <v>0</v>
      </c>
      <c r="E11" s="17">
        <f t="shared" si="3"/>
        <v>775000</v>
      </c>
      <c r="F11" s="17">
        <f t="shared" si="3"/>
        <v>775000</v>
      </c>
      <c r="G11" s="17">
        <f t="shared" si="3"/>
        <v>775000</v>
      </c>
      <c r="H11" s="17">
        <f t="shared" si="3"/>
        <v>775000</v>
      </c>
      <c r="I11" s="17">
        <f t="shared" ref="I11" si="4">SUM(I10:I10)</f>
        <v>775000</v>
      </c>
    </row>
    <row r="12" spans="1:21">
      <c r="A12" s="46" t="s">
        <v>54</v>
      </c>
      <c r="B12" s="14"/>
      <c r="C12" s="14"/>
      <c r="D12" s="14"/>
      <c r="E12" s="14"/>
      <c r="F12" s="15"/>
      <c r="G12" s="14"/>
      <c r="H12" s="14"/>
      <c r="I12" s="14"/>
    </row>
    <row r="13" spans="1:21" ht="14.1" customHeight="1">
      <c r="A13" s="46">
        <f>MAX(A$6:A12)+1</f>
        <v>5</v>
      </c>
      <c r="B13" s="31" t="s">
        <v>55</v>
      </c>
      <c r="C13" s="32">
        <f t="shared" ref="C13" si="5">+C11*(1+C$7)</f>
        <v>0</v>
      </c>
      <c r="D13" s="32">
        <f t="shared" ref="D13:I13" si="6">+D11*(1+D$7)</f>
        <v>0</v>
      </c>
      <c r="E13" s="32">
        <f t="shared" si="6"/>
        <v>775000</v>
      </c>
      <c r="F13" s="32">
        <f t="shared" si="6"/>
        <v>826925</v>
      </c>
      <c r="G13" s="32">
        <f t="shared" si="6"/>
        <v>865707.78249999986</v>
      </c>
      <c r="H13" s="32">
        <f t="shared" si="6"/>
        <v>906309.47749924986</v>
      </c>
      <c r="I13" s="32">
        <f t="shared" si="6"/>
        <v>948815.39199396467</v>
      </c>
      <c r="N13" s="5">
        <v>0.77582409598846502</v>
      </c>
      <c r="P13" s="114">
        <f t="shared" ref="P13:U13" si="7">+D13*$N13</f>
        <v>0</v>
      </c>
      <c r="Q13" s="114">
        <f t="shared" si="7"/>
        <v>601263.67439106037</v>
      </c>
      <c r="R13" s="114">
        <f t="shared" si="7"/>
        <v>641548.34057526139</v>
      </c>
      <c r="S13" s="114">
        <f t="shared" si="7"/>
        <v>671636.95774824114</v>
      </c>
      <c r="T13" s="114">
        <f t="shared" si="7"/>
        <v>703136.7310666336</v>
      </c>
      <c r="U13" s="114">
        <f t="shared" si="7"/>
        <v>736113.8437536587</v>
      </c>
    </row>
    <row r="14" spans="1:21" ht="15.75">
      <c r="A14" s="8"/>
      <c r="B14" s="28" t="s">
        <v>56</v>
      </c>
      <c r="C14" s="28"/>
      <c r="D14" s="28"/>
      <c r="E14" s="28"/>
      <c r="F14" s="28"/>
      <c r="G14" s="28"/>
      <c r="H14" s="28"/>
      <c r="I14" s="28"/>
    </row>
    <row r="15" spans="1:21">
      <c r="A15" s="44"/>
      <c r="B15" s="16" t="s">
        <v>52</v>
      </c>
      <c r="C15" s="16"/>
      <c r="D15" s="16"/>
      <c r="E15" s="16"/>
      <c r="F15" s="109"/>
      <c r="G15" s="109"/>
      <c r="H15" s="45"/>
      <c r="I15" s="45"/>
    </row>
    <row r="16" spans="1:21">
      <c r="A16" s="46">
        <f>MAX(A$6:A15)+1</f>
        <v>6</v>
      </c>
      <c r="B16" s="60" t="s">
        <v>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1"/>
    </row>
    <row r="17" spans="1:21">
      <c r="A17" s="44"/>
      <c r="B17" s="16"/>
      <c r="C17" s="16"/>
      <c r="D17" s="16"/>
      <c r="E17" s="16"/>
      <c r="F17" s="16"/>
      <c r="G17" s="16"/>
      <c r="H17" s="45"/>
      <c r="I17" s="45"/>
    </row>
    <row r="18" spans="1:21">
      <c r="A18" s="133">
        <f>MAX(A$6:A17)+1</f>
        <v>7</v>
      </c>
      <c r="B18" s="31" t="s">
        <v>55</v>
      </c>
      <c r="C18" s="32">
        <f t="shared" ref="C18:E18" si="8">+C16*(1+C$7)</f>
        <v>0</v>
      </c>
      <c r="D18" s="32">
        <f>+D16*(1+D$7)</f>
        <v>0</v>
      </c>
      <c r="E18" s="32">
        <f t="shared" si="8"/>
        <v>0</v>
      </c>
      <c r="F18" s="32">
        <f t="shared" ref="F18:I18" si="9">+F16*(1+F$7)</f>
        <v>0</v>
      </c>
      <c r="G18" s="32">
        <f t="shared" si="9"/>
        <v>0</v>
      </c>
      <c r="H18" s="32">
        <f t="shared" si="9"/>
        <v>0</v>
      </c>
      <c r="I18" s="32">
        <f t="shared" si="9"/>
        <v>0</v>
      </c>
    </row>
    <row r="19" spans="1:21">
      <c r="A19" s="44"/>
      <c r="B19" s="16"/>
      <c r="C19" s="16"/>
      <c r="D19" s="16"/>
      <c r="E19" s="16"/>
      <c r="F19" s="16"/>
      <c r="G19" s="16"/>
      <c r="H19" s="45"/>
      <c r="I19" s="45"/>
    </row>
    <row r="20" spans="1:21">
      <c r="A20" s="133">
        <f>MAX(A$6:A19)+1</f>
        <v>8</v>
      </c>
      <c r="B20" s="26" t="s">
        <v>11</v>
      </c>
      <c r="C20" s="32">
        <f t="shared" ref="C20:H20" si="10">+C18+C13</f>
        <v>0</v>
      </c>
      <c r="D20" s="32">
        <f t="shared" si="10"/>
        <v>0</v>
      </c>
      <c r="E20" s="32">
        <f t="shared" si="10"/>
        <v>775000</v>
      </c>
      <c r="F20" s="32">
        <f t="shared" si="10"/>
        <v>826925</v>
      </c>
      <c r="G20" s="32">
        <f t="shared" si="10"/>
        <v>865707.78249999986</v>
      </c>
      <c r="H20" s="32">
        <f t="shared" si="10"/>
        <v>906309.47749924986</v>
      </c>
      <c r="I20" s="32">
        <f t="shared" ref="I20" si="11">+I18+I13</f>
        <v>948815.39199396467</v>
      </c>
      <c r="O20" s="32">
        <f>+O18+O13</f>
        <v>0</v>
      </c>
      <c r="P20" s="32">
        <f t="shared" ref="P20:T20" si="12">+P18+P13</f>
        <v>0</v>
      </c>
      <c r="Q20" s="32">
        <f>+Q18+Q13</f>
        <v>601263.67439106037</v>
      </c>
      <c r="R20" s="32">
        <f t="shared" si="12"/>
        <v>641548.34057526139</v>
      </c>
      <c r="S20" s="32">
        <f t="shared" si="12"/>
        <v>671636.95774824114</v>
      </c>
      <c r="T20" s="32">
        <f t="shared" si="12"/>
        <v>703136.7310666336</v>
      </c>
      <c r="U20" s="32">
        <f t="shared" ref="U20" si="13">+U18+U13</f>
        <v>736113.8437536587</v>
      </c>
    </row>
    <row r="21" spans="1:21">
      <c r="A21" s="44"/>
      <c r="B21" s="16"/>
      <c r="C21" s="16"/>
      <c r="D21" s="16"/>
      <c r="E21" s="16"/>
      <c r="F21" s="16"/>
      <c r="G21" s="16"/>
      <c r="H21" s="45"/>
      <c r="I21" s="45"/>
    </row>
    <row r="22" spans="1:21">
      <c r="A22" s="133">
        <f>MAX(A$6:A21)+1</f>
        <v>9</v>
      </c>
      <c r="B22" s="26" t="s">
        <v>40</v>
      </c>
      <c r="C22" s="32">
        <f>+C20</f>
        <v>0</v>
      </c>
      <c r="D22" s="32">
        <f t="shared" ref="D22:I22" si="14">+D20</f>
        <v>0</v>
      </c>
      <c r="E22" s="32">
        <f t="shared" si="14"/>
        <v>775000</v>
      </c>
      <c r="F22" s="32">
        <f t="shared" si="14"/>
        <v>826925</v>
      </c>
      <c r="G22" s="32">
        <f t="shared" si="14"/>
        <v>865707.78249999986</v>
      </c>
      <c r="H22" s="32">
        <f t="shared" si="14"/>
        <v>906309.47749924986</v>
      </c>
      <c r="I22" s="32">
        <f t="shared" si="14"/>
        <v>948815.39199396467</v>
      </c>
      <c r="O22" s="32">
        <f t="shared" ref="O22:U22" si="15">+O20</f>
        <v>0</v>
      </c>
      <c r="P22" s="32">
        <f t="shared" si="15"/>
        <v>0</v>
      </c>
      <c r="Q22" s="32">
        <f t="shared" si="15"/>
        <v>601263.67439106037</v>
      </c>
      <c r="R22" s="32">
        <f t="shared" si="15"/>
        <v>641548.34057526139</v>
      </c>
      <c r="S22" s="32">
        <f t="shared" si="15"/>
        <v>671636.95774824114</v>
      </c>
      <c r="T22" s="32">
        <f t="shared" si="15"/>
        <v>703136.7310666336</v>
      </c>
      <c r="U22" s="32">
        <f t="shared" si="15"/>
        <v>736113.8437536587</v>
      </c>
    </row>
    <row r="23" spans="1:21" ht="15.75">
      <c r="A23" s="8"/>
      <c r="B23" s="28"/>
      <c r="C23" s="28"/>
      <c r="D23" s="28"/>
      <c r="E23" s="28"/>
      <c r="F23" s="28"/>
      <c r="G23" s="28"/>
      <c r="H23" s="28"/>
      <c r="I23" s="28"/>
    </row>
    <row r="24" spans="1:21">
      <c r="A24" s="141"/>
      <c r="B24" s="142"/>
      <c r="C24" s="135"/>
      <c r="D24" s="135"/>
      <c r="E24" s="135"/>
      <c r="F24" s="135"/>
      <c r="G24" s="135"/>
      <c r="H24" s="135"/>
      <c r="I24" s="135"/>
    </row>
    <row r="25" spans="1:21">
      <c r="A25" t="s">
        <v>12</v>
      </c>
      <c r="B25" t="s">
        <v>58</v>
      </c>
    </row>
    <row r="29" spans="1:21">
      <c r="D29" s="1"/>
      <c r="E29" s="1"/>
      <c r="F29" s="1"/>
      <c r="G29" s="1"/>
      <c r="H29" s="1"/>
      <c r="I29" s="1"/>
    </row>
    <row r="32" spans="1:21">
      <c r="D32" s="1"/>
      <c r="E32" s="1"/>
      <c r="F32" s="1"/>
      <c r="G32" s="1"/>
      <c r="H32" s="1"/>
      <c r="I32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D1-E24C-4E63-AE36-831BA1067466}">
  <dimension ref="A1:U49"/>
  <sheetViews>
    <sheetView showGridLines="0" zoomScaleNormal="100" workbookViewId="0"/>
  </sheetViews>
  <sheetFormatPr defaultColWidth="8.7109375" defaultRowHeight="15"/>
  <cols>
    <col min="1" max="1" width="10.5703125" customWidth="1"/>
    <col min="2" max="2" width="30.5703125" customWidth="1"/>
    <col min="3" max="9" width="12.5703125" customWidth="1"/>
    <col min="10" max="10" width="12.5703125" hidden="1" customWidth="1"/>
    <col min="11" max="11" width="12.5703125" customWidth="1"/>
    <col min="12" max="12" width="38.28515625" bestFit="1" customWidth="1"/>
    <col min="13" max="13" width="9.5703125" customWidth="1"/>
    <col min="14" max="14" width="19.5703125" customWidth="1"/>
    <col min="15" max="15" width="15.42578125" customWidth="1"/>
    <col min="16" max="21" width="14" customWidth="1"/>
  </cols>
  <sheetData>
    <row r="1" spans="1:21" ht="19.5" thickTop="1">
      <c r="A1" s="9" t="s">
        <v>59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#6 - Additional Regulatory Compliance Staffing (GSI)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B2" s="43"/>
      <c r="N2" t="s">
        <v>4</v>
      </c>
    </row>
    <row r="3" spans="1:21" ht="18" thickTop="1">
      <c r="A3" s="19" t="s">
        <v>1</v>
      </c>
      <c r="B3" s="20" t="s">
        <v>50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8">
        <v>1</v>
      </c>
      <c r="B6" s="29" t="s">
        <v>16</v>
      </c>
      <c r="C6" s="5">
        <v>2.5000000000000001E-2</v>
      </c>
      <c r="D6" s="5">
        <v>3.2500000000000001E-2</v>
      </c>
      <c r="E6" s="5">
        <v>3.2500000000000001E-2</v>
      </c>
      <c r="F6" s="117">
        <v>0.03</v>
      </c>
      <c r="G6" s="117">
        <v>0.03</v>
      </c>
      <c r="H6" s="117">
        <v>0.03</v>
      </c>
      <c r="I6" s="117">
        <v>0.03</v>
      </c>
    </row>
    <row r="7" spans="1:21">
      <c r="A7" s="130">
        <f>MAX(A$6:A6)+1</f>
        <v>2</v>
      </c>
      <c r="B7" s="16" t="s">
        <v>60</v>
      </c>
      <c r="C7" s="16"/>
      <c r="D7" s="131"/>
      <c r="E7" s="131">
        <f>+((1+D7)*(1+E$6))-1</f>
        <v>3.2499999999999973E-2</v>
      </c>
      <c r="F7" s="131">
        <f t="shared" ref="F7:I7" si="2">+((1+E7)*(1+F$6))-1</f>
        <v>6.3474999999999948E-2</v>
      </c>
      <c r="G7" s="131">
        <f t="shared" si="2"/>
        <v>9.5379249999999915E-2</v>
      </c>
      <c r="H7" s="131">
        <f t="shared" si="2"/>
        <v>0.12824062749999987</v>
      </c>
      <c r="I7" s="131">
        <f t="shared" si="2"/>
        <v>0.16208784632499995</v>
      </c>
    </row>
    <row r="8" spans="1:21" ht="15.75">
      <c r="A8" s="8"/>
      <c r="B8" s="28" t="s">
        <v>61</v>
      </c>
      <c r="C8" s="28"/>
      <c r="D8" s="28"/>
      <c r="E8" s="28"/>
      <c r="F8" s="28"/>
      <c r="G8" s="28"/>
      <c r="H8" s="28"/>
      <c r="I8" s="28"/>
    </row>
    <row r="9" spans="1:21">
      <c r="A9" s="44"/>
      <c r="B9" s="16" t="s">
        <v>62</v>
      </c>
      <c r="C9" s="16"/>
      <c r="D9" s="16"/>
      <c r="E9" s="16"/>
      <c r="F9" s="109"/>
      <c r="G9" s="109"/>
      <c r="H9" s="45"/>
      <c r="I9" s="45"/>
    </row>
    <row r="10" spans="1:21">
      <c r="A10" s="46">
        <f>MAX(A$6:A9)+1</f>
        <v>3</v>
      </c>
      <c r="B10" s="60" t="s">
        <v>63</v>
      </c>
      <c r="C10" s="6">
        <v>0</v>
      </c>
      <c r="D10" s="6">
        <v>0</v>
      </c>
      <c r="E10" s="6">
        <v>0</v>
      </c>
      <c r="F10" s="6">
        <v>0</v>
      </c>
      <c r="G10" s="6">
        <f>526998.917238322*0.25</f>
        <v>131749.72930958049</v>
      </c>
      <c r="H10" s="6">
        <v>526998.9172383222</v>
      </c>
      <c r="I10" s="6">
        <v>526998.9172383222</v>
      </c>
    </row>
    <row r="11" spans="1:21">
      <c r="A11" s="44">
        <f>MAX(A$6:A10)+1</f>
        <v>4</v>
      </c>
      <c r="B11" s="16" t="s">
        <v>64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f>1337341.32162393*0.25</f>
        <v>334335.3304059825</v>
      </c>
      <c r="I11" s="6">
        <v>1337341.3216239281</v>
      </c>
    </row>
    <row r="12" spans="1:21" ht="26.45" customHeight="1">
      <c r="A12" s="46">
        <f>MAX(A$6:A11)+1</f>
        <v>5</v>
      </c>
      <c r="B12" s="60" t="s">
        <v>65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f>1337341.32162393*0.25</f>
        <v>334335.3304059825</v>
      </c>
      <c r="J12" s="1"/>
      <c r="K12" s="1"/>
      <c r="L12" s="163"/>
    </row>
    <row r="13" spans="1:21" hidden="1">
      <c r="A13" s="44">
        <f>MAX(A$6:A12)+1</f>
        <v>6</v>
      </c>
      <c r="B13" s="16" t="s">
        <v>66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1"/>
    </row>
    <row r="14" spans="1:21" hidden="1">
      <c r="A14" s="46">
        <f>MAX(A$6:A13)+1</f>
        <v>7</v>
      </c>
      <c r="B14" s="60" t="s">
        <v>67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1"/>
    </row>
    <row r="15" spans="1:21" hidden="1">
      <c r="A15" s="44">
        <f>MAX(A$6:A14)+1</f>
        <v>8</v>
      </c>
      <c r="B15" s="16" t="s">
        <v>68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1"/>
    </row>
    <row r="16" spans="1:21" hidden="1">
      <c r="A16" s="46">
        <f>MAX(A$6:A15)+1</f>
        <v>9</v>
      </c>
      <c r="B16" s="60" t="s">
        <v>69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1"/>
    </row>
    <row r="17" spans="1:21" hidden="1">
      <c r="A17" s="44">
        <f>MAX(A$6:A16)+1</f>
        <v>10</v>
      </c>
      <c r="B17" s="16" t="s">
        <v>70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1"/>
    </row>
    <row r="18" spans="1:21" hidden="1">
      <c r="A18" s="46">
        <f>MAX(A$6:A17)+1</f>
        <v>11</v>
      </c>
      <c r="B18" s="60" t="s">
        <v>71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1"/>
    </row>
    <row r="19" spans="1:21" hidden="1">
      <c r="A19" s="44">
        <f>MAX(A$6:A18)+1</f>
        <v>12</v>
      </c>
      <c r="B19" s="16" t="s">
        <v>72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1"/>
    </row>
    <row r="20" spans="1:21" hidden="1">
      <c r="A20" s="46">
        <f>MAX(A$6:A19)+1</f>
        <v>13</v>
      </c>
      <c r="B20" s="60" t="s">
        <v>73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1"/>
    </row>
    <row r="21" spans="1:21" hidden="1">
      <c r="A21" s="44">
        <f>MAX(A$6:A20)+1</f>
        <v>14</v>
      </c>
      <c r="B21" s="16" t="s">
        <v>74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1"/>
    </row>
    <row r="22" spans="1:21" hidden="1">
      <c r="A22" s="46">
        <f>MAX(A$6:A21)+1</f>
        <v>15</v>
      </c>
      <c r="B22" s="60" t="s">
        <v>75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1"/>
    </row>
    <row r="23" spans="1:21" hidden="1">
      <c r="A23" s="44">
        <f>MAX(A$6:A22)+1</f>
        <v>16</v>
      </c>
      <c r="B23" s="16" t="s">
        <v>76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1"/>
    </row>
    <row r="24" spans="1:21" hidden="1">
      <c r="A24" s="46">
        <f>MAX(A$6:A23)+1</f>
        <v>17</v>
      </c>
      <c r="B24" s="60" t="s">
        <v>77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"/>
    </row>
    <row r="25" spans="1:21" hidden="1">
      <c r="A25" s="44">
        <f>MAX(A$6:A24)+1</f>
        <v>18</v>
      </c>
      <c r="B25" s="16" t="s">
        <v>78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1"/>
    </row>
    <row r="26" spans="1:21" hidden="1">
      <c r="A26" s="46">
        <f>MAX(A$6:A25)+1</f>
        <v>19</v>
      </c>
      <c r="B26" s="60" t="s">
        <v>79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1"/>
    </row>
    <row r="27" spans="1:21" hidden="1">
      <c r="A27" s="44">
        <f>MAX(A$6:A26)+1</f>
        <v>20</v>
      </c>
      <c r="B27" s="16" t="s">
        <v>80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"/>
    </row>
    <row r="28" spans="1:21" hidden="1">
      <c r="A28" s="46">
        <f>MAX(A$6:A27)+1</f>
        <v>21</v>
      </c>
      <c r="B28" s="60" t="s">
        <v>81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1"/>
    </row>
    <row r="29" spans="1:21" hidden="1">
      <c r="A29" s="44">
        <f>MAX(A$6:A28)+1</f>
        <v>22</v>
      </c>
      <c r="B29" s="16" t="s">
        <v>82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1"/>
    </row>
    <row r="30" spans="1:21">
      <c r="A30" s="44">
        <f>MAX(A$6:A29)+1</f>
        <v>23</v>
      </c>
      <c r="B30" s="16" t="s">
        <v>23</v>
      </c>
      <c r="C30" s="17">
        <f>SUM(C10:C29)</f>
        <v>0</v>
      </c>
      <c r="D30" s="17">
        <f t="shared" ref="D30:I30" si="3">SUM(D10:D29)</f>
        <v>0</v>
      </c>
      <c r="E30" s="17">
        <f t="shared" si="3"/>
        <v>0</v>
      </c>
      <c r="F30" s="17">
        <f t="shared" si="3"/>
        <v>0</v>
      </c>
      <c r="G30" s="17">
        <f t="shared" si="3"/>
        <v>131749.72930958049</v>
      </c>
      <c r="H30" s="17">
        <f t="shared" si="3"/>
        <v>861334.24764430476</v>
      </c>
      <c r="I30" s="17">
        <f t="shared" si="3"/>
        <v>2198675.5692682331</v>
      </c>
    </row>
    <row r="31" spans="1:21">
      <c r="A31" s="44"/>
      <c r="B31" s="16"/>
      <c r="C31" s="16"/>
      <c r="D31" s="16"/>
      <c r="E31" s="16"/>
      <c r="F31" s="16"/>
      <c r="G31" s="16"/>
      <c r="H31" s="45"/>
      <c r="I31" s="45"/>
    </row>
    <row r="32" spans="1:21">
      <c r="A32" s="42">
        <f>MAX(A$6:A31)+1</f>
        <v>24</v>
      </c>
      <c r="B32" s="31" t="s">
        <v>55</v>
      </c>
      <c r="C32" s="32">
        <f>+C30*(1+C$7)</f>
        <v>0</v>
      </c>
      <c r="D32" s="32">
        <f t="shared" ref="D32:I32" si="4">+D30*(1+D$7)</f>
        <v>0</v>
      </c>
      <c r="E32" s="32">
        <f t="shared" si="4"/>
        <v>0</v>
      </c>
      <c r="F32" s="32">
        <f t="shared" si="4"/>
        <v>0</v>
      </c>
      <c r="G32" s="32">
        <f>+G30*(1+G$7)</f>
        <v>144315.9196788313</v>
      </c>
      <c r="H32" s="32">
        <f t="shared" si="4"/>
        <v>971792.29204945068</v>
      </c>
      <c r="I32" s="32">
        <f t="shared" si="4"/>
        <v>2555054.1570583144</v>
      </c>
      <c r="N32" s="5">
        <v>0.94469212662874791</v>
      </c>
      <c r="P32" s="114">
        <f t="shared" ref="P32:U32" si="5">+D32*$N32</f>
        <v>0</v>
      </c>
      <c r="Q32" s="114">
        <f t="shared" si="5"/>
        <v>0</v>
      </c>
      <c r="R32" s="114">
        <f t="shared" si="5"/>
        <v>0</v>
      </c>
      <c r="S32" s="114">
        <f t="shared" si="5"/>
        <v>136334.1130677787</v>
      </c>
      <c r="T32" s="114">
        <f t="shared" si="5"/>
        <v>918044.52701762086</v>
      </c>
      <c r="U32" s="114">
        <f t="shared" si="5"/>
        <v>2413739.5452830419</v>
      </c>
    </row>
    <row r="33" spans="1:21">
      <c r="A33" s="44"/>
      <c r="B33" s="16"/>
      <c r="C33" s="16"/>
      <c r="D33" s="16"/>
      <c r="E33" s="16"/>
      <c r="F33" s="16"/>
      <c r="G33" s="16"/>
      <c r="H33" s="45"/>
      <c r="I33" s="45"/>
    </row>
    <row r="34" spans="1:21">
      <c r="A34" s="42">
        <f>MAX(A$6:A33)+1</f>
        <v>25</v>
      </c>
      <c r="B34" s="26" t="s">
        <v>11</v>
      </c>
      <c r="C34" s="32">
        <f>+C32</f>
        <v>0</v>
      </c>
      <c r="D34" s="32">
        <f t="shared" ref="D34:I34" si="6">+D32</f>
        <v>0</v>
      </c>
      <c r="E34" s="32">
        <f t="shared" si="6"/>
        <v>0</v>
      </c>
      <c r="F34" s="32">
        <f t="shared" si="6"/>
        <v>0</v>
      </c>
      <c r="G34" s="32">
        <f t="shared" si="6"/>
        <v>144315.9196788313</v>
      </c>
      <c r="H34" s="32">
        <f t="shared" si="6"/>
        <v>971792.29204945068</v>
      </c>
      <c r="I34" s="32">
        <f t="shared" si="6"/>
        <v>2555054.1570583144</v>
      </c>
      <c r="O34" s="32">
        <f>+O32</f>
        <v>0</v>
      </c>
      <c r="P34" s="32">
        <f t="shared" ref="P34:U34" si="7">+P32</f>
        <v>0</v>
      </c>
      <c r="Q34" s="32">
        <f t="shared" si="7"/>
        <v>0</v>
      </c>
      <c r="R34" s="32">
        <f t="shared" si="7"/>
        <v>0</v>
      </c>
      <c r="S34" s="32">
        <f t="shared" si="7"/>
        <v>136334.1130677787</v>
      </c>
      <c r="T34" s="32">
        <f t="shared" si="7"/>
        <v>918044.52701762086</v>
      </c>
      <c r="U34" s="32">
        <f t="shared" si="7"/>
        <v>2413739.5452830419</v>
      </c>
    </row>
    <row r="35" spans="1:21">
      <c r="A35" s="44"/>
      <c r="B35" s="16"/>
      <c r="C35" s="16"/>
      <c r="D35" s="16"/>
      <c r="E35" s="16"/>
      <c r="F35" s="16"/>
      <c r="G35" s="16"/>
      <c r="H35" s="45"/>
      <c r="I35" s="45"/>
    </row>
    <row r="36" spans="1:21" ht="15.75">
      <c r="A36" s="8"/>
      <c r="B36" s="28" t="s">
        <v>83</v>
      </c>
      <c r="C36" s="28"/>
      <c r="D36" s="28"/>
      <c r="E36" s="28"/>
      <c r="F36" s="28"/>
      <c r="G36" s="28"/>
      <c r="H36" s="28"/>
      <c r="I36" s="28"/>
    </row>
    <row r="37" spans="1:21" ht="15.75">
      <c r="A37" s="8"/>
      <c r="B37" s="28" t="s">
        <v>84</v>
      </c>
      <c r="C37" s="28"/>
      <c r="D37" s="28"/>
      <c r="E37" s="28"/>
      <c r="F37" s="28"/>
      <c r="G37" s="28"/>
      <c r="H37" s="28"/>
      <c r="I37" s="28"/>
    </row>
    <row r="38" spans="1:21">
      <c r="A38" s="46">
        <f>MAX(A$6:A37)+1</f>
        <v>26</v>
      </c>
      <c r="B38" s="14" t="s">
        <v>85</v>
      </c>
      <c r="C38" s="47">
        <f>+'Pension &amp; Fringes Ratio'!E12</f>
        <v>0.39900412395768614</v>
      </c>
      <c r="D38" s="47">
        <f>+'Pension &amp; Fringes Ratio'!F12</f>
        <v>0.41580960355225755</v>
      </c>
      <c r="E38" s="47">
        <f>+'Pension &amp; Fringes Ratio'!G12</f>
        <v>0.41865776842720981</v>
      </c>
      <c r="F38" s="47">
        <f>+'Pension &amp; Fringes Ratio'!H12</f>
        <v>0.42478697636701074</v>
      </c>
      <c r="G38" s="47">
        <f>+'Pension &amp; Fringes Ratio'!I12</f>
        <v>0.43102784918593423</v>
      </c>
      <c r="H38" s="47">
        <f>+'Pension &amp; Fringes Ratio'!J12</f>
        <v>0.43657739089624953</v>
      </c>
      <c r="I38" s="47">
        <f>+'Pension &amp; Fringes Ratio'!K12</f>
        <v>0.44219838370480069</v>
      </c>
    </row>
    <row r="39" spans="1:21">
      <c r="A39" s="44">
        <f>MAX(A$6:A38)+1</f>
        <v>27</v>
      </c>
      <c r="B39" s="16" t="s">
        <v>86</v>
      </c>
      <c r="C39" s="45">
        <f>+'Pension &amp; Fringes Ratio'!E13</f>
        <v>0.37252820581911578</v>
      </c>
      <c r="D39" s="45">
        <f>+'Pension &amp; Fringes Ratio'!F13</f>
        <v>0.35310296108626987</v>
      </c>
      <c r="E39" s="45">
        <f>+'Pension &amp; Fringes Ratio'!G13</f>
        <v>0.34265790145175806</v>
      </c>
      <c r="F39" s="45">
        <f>+'Pension &amp; Fringes Ratio'!H13</f>
        <v>0.33322384281979445</v>
      </c>
      <c r="G39" s="45">
        <f>+'Pension &amp; Fringes Ratio'!I13</f>
        <v>0.32563972543586467</v>
      </c>
      <c r="H39" s="45">
        <f>+'Pension &amp; Fringes Ratio'!J13</f>
        <v>0.31722549652607956</v>
      </c>
      <c r="I39" s="45">
        <f>+'Pension &amp; Fringes Ratio'!K13</f>
        <v>0.30902868349837548</v>
      </c>
    </row>
    <row r="40" spans="1:21">
      <c r="A40" s="46">
        <f>MAX(A$6:A39)+1</f>
        <v>28</v>
      </c>
      <c r="B40" s="14" t="s">
        <v>87</v>
      </c>
      <c r="C40" s="47">
        <f>+'Pension &amp; Fringes Ratio'!E14</f>
        <v>5.3957484317269488E-2</v>
      </c>
      <c r="D40" s="47">
        <f>+'Pension &amp; Fringes Ratio'!F14</f>
        <v>6.3645515160973762E-2</v>
      </c>
      <c r="E40" s="47">
        <f>+'Pension &amp; Fringes Ratio'!G14</f>
        <v>6.963541657885905E-2</v>
      </c>
      <c r="F40" s="47">
        <f>+'Pension &amp; Fringes Ratio'!H14</f>
        <v>6.7607994022503629E-2</v>
      </c>
      <c r="G40" s="47">
        <f>+'Pension &amp; Fringes Ratio'!I14</f>
        <v>6.563914469628708E-2</v>
      </c>
      <c r="H40" s="47">
        <f>+'Pension &amp; Fringes Ratio'!J14</f>
        <v>6.4224521873157386E-2</v>
      </c>
      <c r="I40" s="47">
        <f>+'Pension &amp; Fringes Ratio'!K14</f>
        <v>6.2353208427215305E-2</v>
      </c>
    </row>
    <row r="41" spans="1:21">
      <c r="A41" s="44">
        <f>MAX(A$6:A40)+1</f>
        <v>29</v>
      </c>
      <c r="B41" s="16" t="s">
        <v>88</v>
      </c>
      <c r="C41" s="110">
        <f t="shared" ref="C41" si="8">SUM(C38:C40)</f>
        <v>0.82548981409407141</v>
      </c>
      <c r="D41" s="110">
        <f t="shared" ref="D41:I41" si="9">SUM(D38:D40)</f>
        <v>0.83255807979950114</v>
      </c>
      <c r="E41" s="110">
        <f t="shared" si="9"/>
        <v>0.83095108645782689</v>
      </c>
      <c r="F41" s="110">
        <f t="shared" si="9"/>
        <v>0.82561881320930874</v>
      </c>
      <c r="G41" s="110">
        <f t="shared" si="9"/>
        <v>0.82230671931808597</v>
      </c>
      <c r="H41" s="110">
        <f t="shared" si="9"/>
        <v>0.81802740929548645</v>
      </c>
      <c r="I41" s="110">
        <f t="shared" si="9"/>
        <v>0.81358027563039148</v>
      </c>
    </row>
    <row r="42" spans="1:21">
      <c r="A42" s="46">
        <f>MAX(A$6:A41)+1</f>
        <v>30</v>
      </c>
      <c r="B42" s="14" t="s">
        <v>89</v>
      </c>
      <c r="C42" s="14"/>
      <c r="D42" s="49">
        <f>ROUND(+D$34*D38,-3)</f>
        <v>0</v>
      </c>
      <c r="E42" s="49">
        <f t="shared" ref="E42:H44" si="10">ROUND(+E$34*E38,-3)</f>
        <v>0</v>
      </c>
      <c r="F42" s="49">
        <f t="shared" si="10"/>
        <v>0</v>
      </c>
      <c r="G42" s="49">
        <f t="shared" si="10"/>
        <v>62000</v>
      </c>
      <c r="H42" s="49">
        <f t="shared" si="10"/>
        <v>424000</v>
      </c>
      <c r="I42" s="49">
        <f t="shared" ref="I42" si="11">ROUND(+I$34*I38,-3)</f>
        <v>1130000</v>
      </c>
      <c r="J42" s="1"/>
      <c r="K42" s="1"/>
      <c r="L42" s="1"/>
      <c r="M42" s="1"/>
      <c r="N42" s="5">
        <v>1</v>
      </c>
      <c r="P42" s="114">
        <f t="shared" ref="P42:U44" si="12">+D42*$N42</f>
        <v>0</v>
      </c>
      <c r="Q42" s="114">
        <f t="shared" si="12"/>
        <v>0</v>
      </c>
      <c r="R42" s="114">
        <f t="shared" si="12"/>
        <v>0</v>
      </c>
      <c r="S42" s="114">
        <f t="shared" si="12"/>
        <v>62000</v>
      </c>
      <c r="T42" s="114">
        <f t="shared" si="12"/>
        <v>424000</v>
      </c>
      <c r="U42" s="114">
        <f t="shared" si="12"/>
        <v>1130000</v>
      </c>
    </row>
    <row r="43" spans="1:21">
      <c r="A43" s="44">
        <f>MAX(A$6:A42)+1</f>
        <v>31</v>
      </c>
      <c r="B43" s="16" t="s">
        <v>90</v>
      </c>
      <c r="C43" s="16"/>
      <c r="D43" s="50">
        <f>ROUND(+D$34*D39,-3)</f>
        <v>0</v>
      </c>
      <c r="E43" s="50">
        <f t="shared" si="10"/>
        <v>0</v>
      </c>
      <c r="F43" s="50">
        <f t="shared" si="10"/>
        <v>0</v>
      </c>
      <c r="G43" s="50">
        <f t="shared" si="10"/>
        <v>47000</v>
      </c>
      <c r="H43" s="50">
        <f t="shared" si="10"/>
        <v>308000</v>
      </c>
      <c r="I43" s="50">
        <f t="shared" ref="I43" si="13">ROUND(+I$34*I39,-3)</f>
        <v>790000</v>
      </c>
      <c r="J43" s="2"/>
      <c r="K43" s="2"/>
      <c r="L43" s="2"/>
      <c r="M43" s="2"/>
      <c r="N43" s="5">
        <v>1</v>
      </c>
      <c r="P43" s="114">
        <f t="shared" si="12"/>
        <v>0</v>
      </c>
      <c r="Q43" s="114">
        <f t="shared" si="12"/>
        <v>0</v>
      </c>
      <c r="R43" s="114">
        <f t="shared" si="12"/>
        <v>0</v>
      </c>
      <c r="S43" s="114">
        <f t="shared" si="12"/>
        <v>47000</v>
      </c>
      <c r="T43" s="114">
        <f t="shared" si="12"/>
        <v>308000</v>
      </c>
      <c r="U43" s="114">
        <f t="shared" si="12"/>
        <v>790000</v>
      </c>
    </row>
    <row r="44" spans="1:21">
      <c r="A44" s="46">
        <f>MAX(A$6:A43)+1</f>
        <v>32</v>
      </c>
      <c r="B44" s="14" t="s">
        <v>91</v>
      </c>
      <c r="C44" s="14"/>
      <c r="D44" s="49">
        <f>ROUND(+D$34*D40,-3)</f>
        <v>0</v>
      </c>
      <c r="E44" s="49">
        <f t="shared" si="10"/>
        <v>0</v>
      </c>
      <c r="F44" s="49">
        <f t="shared" si="10"/>
        <v>0</v>
      </c>
      <c r="G44" s="49">
        <f t="shared" si="10"/>
        <v>9000</v>
      </c>
      <c r="H44" s="49">
        <f t="shared" si="10"/>
        <v>62000</v>
      </c>
      <c r="I44" s="49">
        <f t="shared" ref="I44" si="14">ROUND(+I$34*I40,-3)</f>
        <v>159000</v>
      </c>
      <c r="J44" s="2"/>
      <c r="K44" s="2"/>
      <c r="L44" s="2"/>
      <c r="M44" s="2"/>
      <c r="N44" s="5">
        <v>1</v>
      </c>
      <c r="P44" s="114">
        <f t="shared" si="12"/>
        <v>0</v>
      </c>
      <c r="Q44" s="114">
        <f t="shared" si="12"/>
        <v>0</v>
      </c>
      <c r="R44" s="114">
        <f t="shared" si="12"/>
        <v>0</v>
      </c>
      <c r="S44" s="114">
        <f t="shared" si="12"/>
        <v>9000</v>
      </c>
      <c r="T44" s="114">
        <f t="shared" si="12"/>
        <v>62000</v>
      </c>
      <c r="U44" s="114">
        <f t="shared" si="12"/>
        <v>159000</v>
      </c>
    </row>
    <row r="45" spans="1:21">
      <c r="A45" s="44"/>
      <c r="B45" s="16"/>
      <c r="C45" s="16"/>
      <c r="D45" s="16"/>
      <c r="E45" s="16"/>
      <c r="F45" s="16"/>
      <c r="G45" s="16"/>
      <c r="H45" s="45"/>
      <c r="I45" s="45"/>
    </row>
    <row r="46" spans="1:21">
      <c r="A46" s="46">
        <f>MAX(A$6:A45)+1</f>
        <v>33</v>
      </c>
      <c r="B46" s="31" t="s">
        <v>28</v>
      </c>
      <c r="C46" s="32"/>
      <c r="D46" s="32">
        <f t="shared" ref="D46:I46" si="15">SUM(D42:D45)</f>
        <v>0</v>
      </c>
      <c r="E46" s="32">
        <f t="shared" si="15"/>
        <v>0</v>
      </c>
      <c r="F46" s="32">
        <f t="shared" si="15"/>
        <v>0</v>
      </c>
      <c r="G46" s="32">
        <f t="shared" si="15"/>
        <v>118000</v>
      </c>
      <c r="H46" s="32">
        <f t="shared" si="15"/>
        <v>794000</v>
      </c>
      <c r="I46" s="32">
        <f t="shared" si="15"/>
        <v>2079000</v>
      </c>
      <c r="O46" s="32"/>
      <c r="P46" s="32">
        <f>SUM(P42:P45)</f>
        <v>0</v>
      </c>
      <c r="Q46" s="32">
        <f>SUM(Q42:Q45)</f>
        <v>0</v>
      </c>
      <c r="R46" s="32">
        <f>SUM(R42:R45)</f>
        <v>0</v>
      </c>
      <c r="S46" s="32">
        <f>SUM(S42:S45)</f>
        <v>118000</v>
      </c>
      <c r="T46" s="32">
        <f>SUM(T42:T45)</f>
        <v>794000</v>
      </c>
      <c r="U46" s="32">
        <f t="shared" ref="U46" si="16">SUM(U42:U45)</f>
        <v>2079000</v>
      </c>
    </row>
    <row r="47" spans="1:21">
      <c r="A47" s="44"/>
      <c r="B47" s="16"/>
      <c r="C47" s="16"/>
      <c r="D47" s="16"/>
      <c r="E47" s="16"/>
      <c r="F47" s="16"/>
      <c r="G47" s="16"/>
      <c r="H47" s="45"/>
      <c r="I47" s="45"/>
      <c r="O47" s="16"/>
      <c r="P47" s="16"/>
      <c r="Q47" s="16"/>
      <c r="R47" s="16"/>
      <c r="S47" s="16"/>
      <c r="T47" s="45"/>
      <c r="U47" s="16"/>
    </row>
    <row r="48" spans="1:21">
      <c r="A48" s="46">
        <f>MAX(A$6:A47)+1</f>
        <v>34</v>
      </c>
      <c r="B48" s="31" t="s">
        <v>40</v>
      </c>
      <c r="C48" s="32"/>
      <c r="D48" s="32">
        <f>+D46+D34</f>
        <v>0</v>
      </c>
      <c r="E48" s="32">
        <f>+E46+E34</f>
        <v>0</v>
      </c>
      <c r="F48" s="32">
        <f>+F46+F34</f>
        <v>0</v>
      </c>
      <c r="G48" s="32">
        <f>+G46+G34</f>
        <v>262315.9196788313</v>
      </c>
      <c r="H48" s="32">
        <f t="shared" ref="H48:I48" si="17">+H46+H34</f>
        <v>1765792.2920494508</v>
      </c>
      <c r="I48" s="32">
        <f t="shared" si="17"/>
        <v>4634054.1570583144</v>
      </c>
      <c r="O48" s="32"/>
      <c r="P48" s="32">
        <f>+P46+P34</f>
        <v>0</v>
      </c>
      <c r="Q48" s="32">
        <f>+Q46+Q34</f>
        <v>0</v>
      </c>
      <c r="R48" s="32">
        <f>+R46+R34</f>
        <v>0</v>
      </c>
      <c r="S48" s="32">
        <f>+S46+S34</f>
        <v>254334.1130677787</v>
      </c>
      <c r="T48" s="32">
        <f t="shared" ref="T48:U48" si="18">+T46+T34</f>
        <v>1712044.5270176209</v>
      </c>
      <c r="U48" s="32">
        <f t="shared" si="18"/>
        <v>4492739.5452830419</v>
      </c>
    </row>
    <row r="49" spans="1:9">
      <c r="A49" s="23"/>
      <c r="B49" s="22"/>
      <c r="C49" s="22"/>
      <c r="D49" s="22"/>
      <c r="E49" s="22"/>
      <c r="F49" s="39"/>
      <c r="G49" s="39"/>
      <c r="H49" s="39"/>
      <c r="I49" s="39"/>
    </row>
  </sheetData>
  <phoneticPr fontId="11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976E6-D9E4-4589-8B11-B7476A3022E3}">
  <dimension ref="A1:U40"/>
  <sheetViews>
    <sheetView showGridLines="0" zoomScale="85" zoomScaleNormal="85" workbookViewId="0"/>
  </sheetViews>
  <sheetFormatPr defaultColWidth="8.7109375" defaultRowHeight="15"/>
  <cols>
    <col min="1" max="1" width="10.5703125" customWidth="1"/>
    <col min="2" max="2" width="30.5703125" customWidth="1"/>
    <col min="3" max="9" width="12.5703125" customWidth="1"/>
    <col min="10" max="10" width="12.5703125" hidden="1" customWidth="1"/>
    <col min="11" max="11" width="12.5703125" customWidth="1"/>
    <col min="12" max="12" width="18.42578125" customWidth="1"/>
    <col min="13" max="14" width="12.5703125" customWidth="1"/>
    <col min="15" max="15" width="5.5703125" bestFit="1" customWidth="1"/>
    <col min="16" max="20" width="11.7109375" bestFit="1" customWidth="1"/>
    <col min="21" max="21" width="13" customWidth="1"/>
  </cols>
  <sheetData>
    <row r="1" spans="1:21" ht="19.5" thickTop="1">
      <c r="A1" s="9" t="s">
        <v>92</v>
      </c>
      <c r="B1" s="9"/>
      <c r="C1" s="9"/>
      <c r="D1" s="9"/>
      <c r="E1" s="9"/>
      <c r="F1" s="9"/>
      <c r="G1" s="9"/>
      <c r="H1" s="9"/>
      <c r="I1" s="118"/>
      <c r="K1" s="162" t="s">
        <v>93</v>
      </c>
      <c r="N1" s="9" t="str">
        <f>A1 &amp;" Application of Actual to Budget Factor"</f>
        <v>O&amp;M Adjustment #7 - XXXXXXXXXXXXXX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B2" s="43"/>
      <c r="N2" t="s">
        <v>4</v>
      </c>
    </row>
    <row r="3" spans="1:21" ht="18" thickTop="1">
      <c r="A3" s="19" t="s">
        <v>1</v>
      </c>
      <c r="B3" s="20" t="s">
        <v>50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8">
        <v>1</v>
      </c>
      <c r="B6" s="29" t="s">
        <v>16</v>
      </c>
      <c r="C6" s="5">
        <v>2.5000000000000001E-2</v>
      </c>
      <c r="D6" s="5">
        <v>3.2500000000000001E-2</v>
      </c>
      <c r="E6" s="5">
        <v>3.2500000000000001E-2</v>
      </c>
      <c r="F6" s="117">
        <v>0.03</v>
      </c>
      <c r="G6" s="117">
        <v>0.03</v>
      </c>
      <c r="H6" s="117">
        <v>0.03</v>
      </c>
      <c r="I6" s="117">
        <v>0.03</v>
      </c>
    </row>
    <row r="7" spans="1:21">
      <c r="A7" s="55">
        <f>MAX(A$6:A6)+1</f>
        <v>2</v>
      </c>
      <c r="B7" s="14" t="s">
        <v>34</v>
      </c>
      <c r="C7" s="71">
        <f>+C6</f>
        <v>2.5000000000000001E-2</v>
      </c>
      <c r="D7" s="71">
        <f>+(1+C6)*(1+D6)-1</f>
        <v>5.8312499999999989E-2</v>
      </c>
      <c r="E7" s="71">
        <f>+((1+D7)*(1+E$6))-1</f>
        <v>9.2707656249999992E-2</v>
      </c>
      <c r="F7" s="71">
        <f t="shared" ref="F7:I7" si="2">+((1+E7)*(1+F6))-1</f>
        <v>0.12548888593750007</v>
      </c>
      <c r="G7" s="71">
        <f t="shared" si="2"/>
        <v>0.15925355251562512</v>
      </c>
      <c r="H7" s="71">
        <f t="shared" si="2"/>
        <v>0.19403115909109392</v>
      </c>
      <c r="I7" s="71">
        <f t="shared" si="2"/>
        <v>0.22985209386382688</v>
      </c>
    </row>
    <row r="8" spans="1:21" ht="15.75">
      <c r="A8" s="8"/>
      <c r="B8" s="28" t="s">
        <v>94</v>
      </c>
      <c r="C8" s="28"/>
      <c r="D8" s="28"/>
      <c r="E8" s="28"/>
      <c r="F8" s="28"/>
      <c r="G8" s="28"/>
      <c r="H8" s="28"/>
      <c r="I8" s="28"/>
    </row>
    <row r="9" spans="1:21">
      <c r="A9" s="44"/>
      <c r="B9" s="16" t="s">
        <v>95</v>
      </c>
      <c r="C9" s="16"/>
      <c r="D9" s="16"/>
      <c r="E9" s="16"/>
      <c r="F9" s="109"/>
      <c r="G9" s="109"/>
      <c r="H9" s="45"/>
      <c r="I9" s="45"/>
      <c r="K9" s="1"/>
    </row>
    <row r="10" spans="1:21">
      <c r="A10" s="44">
        <f>MAX(A$6:A9)+1</f>
        <v>3</v>
      </c>
      <c r="B10" s="16" t="s">
        <v>96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21">
      <c r="A11" s="46">
        <f>MAX(A$6:A10)+1</f>
        <v>4</v>
      </c>
      <c r="B11" s="60" t="s">
        <v>57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21">
      <c r="A12" s="44">
        <f>MAX(A$6:A11)+1</f>
        <v>5</v>
      </c>
      <c r="B12" s="16" t="s">
        <v>97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21">
      <c r="A13" s="46">
        <f>MAX(A$6:A12)+1</f>
        <v>6</v>
      </c>
      <c r="B13" s="60" t="s">
        <v>63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21">
      <c r="A14" s="44">
        <f>MAX(A$6:A13)+1</f>
        <v>7</v>
      </c>
      <c r="B14" s="16" t="s">
        <v>64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21">
      <c r="A15" s="46">
        <f>MAX(A$6:A14)+1</f>
        <v>8</v>
      </c>
      <c r="B15" s="60" t="s">
        <v>65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21">
      <c r="A16" s="44">
        <f>MAX(A$6:A15)+1</f>
        <v>9</v>
      </c>
      <c r="B16" s="16" t="s">
        <v>23</v>
      </c>
      <c r="C16" s="17">
        <f t="shared" ref="C16:I16" si="3">SUM(C10:C15)</f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7">
        <f t="shared" si="3"/>
        <v>0</v>
      </c>
      <c r="I16" s="17">
        <f t="shared" si="3"/>
        <v>0</v>
      </c>
    </row>
    <row r="17" spans="1:21">
      <c r="A17" s="46" t="s">
        <v>54</v>
      </c>
      <c r="B17" s="14"/>
      <c r="C17" s="14"/>
      <c r="D17" s="14"/>
      <c r="E17" s="14"/>
      <c r="F17" s="15"/>
      <c r="G17" s="14"/>
      <c r="H17" s="14"/>
      <c r="I17" s="14"/>
    </row>
    <row r="18" spans="1:21">
      <c r="A18" s="46">
        <f>MAX(A$6:A17)+1</f>
        <v>10</v>
      </c>
      <c r="B18" s="31" t="s">
        <v>55</v>
      </c>
      <c r="C18" s="32">
        <f t="shared" ref="C18" si="4">+C16*(1+C$7)</f>
        <v>0</v>
      </c>
      <c r="D18" s="32">
        <f t="shared" ref="D18:I18" si="5">+D16*(1+D$7)</f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N18" s="5">
        <v>0.94469212662874791</v>
      </c>
      <c r="P18" s="114">
        <f t="shared" ref="P18:U18" si="6">+D18*$N18</f>
        <v>0</v>
      </c>
      <c r="Q18" s="114">
        <f t="shared" si="6"/>
        <v>0</v>
      </c>
      <c r="R18" s="114">
        <f t="shared" si="6"/>
        <v>0</v>
      </c>
      <c r="S18" s="114">
        <f t="shared" si="6"/>
        <v>0</v>
      </c>
      <c r="T18" s="114">
        <f t="shared" si="6"/>
        <v>0</v>
      </c>
      <c r="U18" s="114">
        <f t="shared" si="6"/>
        <v>0</v>
      </c>
    </row>
    <row r="19" spans="1:21" ht="15.75">
      <c r="A19" s="8"/>
      <c r="B19" s="28" t="s">
        <v>98</v>
      </c>
      <c r="C19" s="28"/>
      <c r="D19" s="28"/>
      <c r="E19" s="28"/>
      <c r="F19" s="28"/>
      <c r="G19" s="28"/>
      <c r="H19" s="28"/>
      <c r="I19" s="28"/>
    </row>
    <row r="20" spans="1:21">
      <c r="A20" s="44"/>
      <c r="B20" s="16" t="s">
        <v>95</v>
      </c>
      <c r="C20" s="16"/>
      <c r="D20" s="16"/>
      <c r="E20" s="16"/>
      <c r="F20" s="109"/>
      <c r="G20" s="109"/>
      <c r="H20" s="45"/>
      <c r="I20" s="45"/>
    </row>
    <row r="21" spans="1:21">
      <c r="A21" s="46">
        <f>MAX(A$6:A20)+1</f>
        <v>11</v>
      </c>
      <c r="B21" s="60" t="s">
        <v>99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1"/>
    </row>
    <row r="22" spans="1:21">
      <c r="A22" s="44"/>
      <c r="B22" s="16"/>
      <c r="C22" s="16"/>
      <c r="D22" s="16"/>
      <c r="E22" s="16"/>
      <c r="F22" s="16"/>
      <c r="G22" s="16"/>
      <c r="H22" s="45"/>
      <c r="I22" s="45"/>
    </row>
    <row r="23" spans="1:21">
      <c r="A23" s="42">
        <f>MAX(A$6:A22)+1</f>
        <v>12</v>
      </c>
      <c r="B23" s="31" t="s">
        <v>55</v>
      </c>
      <c r="C23" s="32">
        <f t="shared" ref="C23:E23" si="7">+C21*(1+C$7)</f>
        <v>0</v>
      </c>
      <c r="D23" s="32">
        <f>+D21*(1+D$7)</f>
        <v>0</v>
      </c>
      <c r="E23" s="32">
        <f t="shared" si="7"/>
        <v>0</v>
      </c>
      <c r="F23" s="32">
        <f t="shared" ref="F23:I23" si="8">+F21*(1+F$7)</f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</row>
    <row r="24" spans="1:21">
      <c r="A24" s="44"/>
      <c r="B24" s="16"/>
      <c r="C24" s="16"/>
      <c r="D24" s="16"/>
      <c r="E24" s="16"/>
      <c r="F24" s="16"/>
      <c r="G24" s="16"/>
      <c r="H24" s="45"/>
      <c r="I24" s="45"/>
    </row>
    <row r="25" spans="1:21">
      <c r="A25" s="42">
        <f>MAX(A$6:A24)+1</f>
        <v>13</v>
      </c>
      <c r="B25" s="26" t="s">
        <v>11</v>
      </c>
      <c r="C25" s="32">
        <f t="shared" ref="C25:H25" si="9">+C23+C18</f>
        <v>0</v>
      </c>
      <c r="D25" s="32">
        <f t="shared" si="9"/>
        <v>0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ref="I25" si="10">+I23+I18</f>
        <v>0</v>
      </c>
      <c r="O25" s="32">
        <f t="shared" ref="O25:T25" si="11">+O23+O18</f>
        <v>0</v>
      </c>
      <c r="P25" s="32">
        <f t="shared" si="11"/>
        <v>0</v>
      </c>
      <c r="Q25" s="32">
        <f t="shared" si="11"/>
        <v>0</v>
      </c>
      <c r="R25" s="32">
        <f t="shared" si="11"/>
        <v>0</v>
      </c>
      <c r="S25" s="32">
        <f t="shared" si="11"/>
        <v>0</v>
      </c>
      <c r="T25" s="32">
        <f t="shared" si="11"/>
        <v>0</v>
      </c>
      <c r="U25" s="32">
        <f t="shared" ref="U25" si="12">+U23+U18</f>
        <v>0</v>
      </c>
    </row>
    <row r="26" spans="1:21">
      <c r="A26" s="44"/>
      <c r="B26" s="16"/>
      <c r="C26" s="16"/>
      <c r="D26" s="16"/>
      <c r="E26" s="16"/>
      <c r="F26" s="16"/>
      <c r="G26" s="16"/>
      <c r="H26" s="45"/>
      <c r="I26" s="45"/>
    </row>
    <row r="27" spans="1:21" ht="15.75">
      <c r="A27" s="8"/>
      <c r="B27" s="28" t="s">
        <v>83</v>
      </c>
      <c r="C27" s="28"/>
      <c r="D27" s="28"/>
      <c r="E27" s="28"/>
      <c r="F27" s="28"/>
      <c r="G27" s="28"/>
      <c r="H27" s="28"/>
      <c r="I27" s="28"/>
    </row>
    <row r="28" spans="1:21" ht="15.75">
      <c r="A28" s="8"/>
      <c r="B28" s="28" t="s">
        <v>84</v>
      </c>
      <c r="C28" s="28"/>
      <c r="D28" s="28"/>
      <c r="E28" s="28"/>
      <c r="F28" s="28"/>
      <c r="G28" s="28"/>
      <c r="H28" s="28"/>
      <c r="I28" s="28"/>
    </row>
    <row r="29" spans="1:21">
      <c r="A29" s="46">
        <f>MAX(A$6:A28)+1</f>
        <v>14</v>
      </c>
      <c r="B29" s="14" t="s">
        <v>85</v>
      </c>
      <c r="C29" s="47">
        <f>+'Pension &amp; Fringes Ratio'!E12</f>
        <v>0.39900412395768614</v>
      </c>
      <c r="D29" s="47">
        <f>+'Pension &amp; Fringes Ratio'!F12</f>
        <v>0.41580960355225755</v>
      </c>
      <c r="E29" s="47">
        <f>+'Pension &amp; Fringes Ratio'!G12</f>
        <v>0.41865776842720981</v>
      </c>
      <c r="F29" s="47">
        <f>+'Pension &amp; Fringes Ratio'!H12</f>
        <v>0.42478697636701074</v>
      </c>
      <c r="G29" s="47">
        <f>+'Pension &amp; Fringes Ratio'!I12</f>
        <v>0.43102784918593423</v>
      </c>
      <c r="H29" s="47">
        <f>+'Pension &amp; Fringes Ratio'!J12</f>
        <v>0.43657739089624953</v>
      </c>
      <c r="I29" s="47">
        <f>+'Pension &amp; Fringes Ratio'!K12</f>
        <v>0.44219838370480069</v>
      </c>
    </row>
    <row r="30" spans="1:21">
      <c r="A30" s="44">
        <f>MAX(A$6:A29)+1</f>
        <v>15</v>
      </c>
      <c r="B30" s="16" t="s">
        <v>86</v>
      </c>
      <c r="C30" s="45">
        <f>+'Pension &amp; Fringes Ratio'!E13</f>
        <v>0.37252820581911578</v>
      </c>
      <c r="D30" s="45">
        <f>+'Pension &amp; Fringes Ratio'!F13</f>
        <v>0.35310296108626987</v>
      </c>
      <c r="E30" s="45">
        <f>+'Pension &amp; Fringes Ratio'!G13</f>
        <v>0.34265790145175806</v>
      </c>
      <c r="F30" s="45">
        <f>+'Pension &amp; Fringes Ratio'!H13</f>
        <v>0.33322384281979445</v>
      </c>
      <c r="G30" s="45">
        <f>+'Pension &amp; Fringes Ratio'!I13</f>
        <v>0.32563972543586467</v>
      </c>
      <c r="H30" s="45">
        <f>+'Pension &amp; Fringes Ratio'!J13</f>
        <v>0.31722549652607956</v>
      </c>
      <c r="I30" s="45">
        <f>+'Pension &amp; Fringes Ratio'!K13</f>
        <v>0.30902868349837548</v>
      </c>
    </row>
    <row r="31" spans="1:21">
      <c r="A31" s="46">
        <f>MAX(A$6:A30)+1</f>
        <v>16</v>
      </c>
      <c r="B31" s="14" t="s">
        <v>87</v>
      </c>
      <c r="C31" s="47">
        <f>+'Pension &amp; Fringes Ratio'!E14</f>
        <v>5.3957484317269488E-2</v>
      </c>
      <c r="D31" s="47">
        <f>+'Pension &amp; Fringes Ratio'!F14</f>
        <v>6.3645515160973762E-2</v>
      </c>
      <c r="E31" s="47">
        <f>+'Pension &amp; Fringes Ratio'!G14</f>
        <v>6.963541657885905E-2</v>
      </c>
      <c r="F31" s="47">
        <f>+'Pension &amp; Fringes Ratio'!H14</f>
        <v>6.7607994022503629E-2</v>
      </c>
      <c r="G31" s="47">
        <f>+'Pension &amp; Fringes Ratio'!I14</f>
        <v>6.563914469628708E-2</v>
      </c>
      <c r="H31" s="47">
        <f>+'Pension &amp; Fringes Ratio'!J14</f>
        <v>6.4224521873157386E-2</v>
      </c>
      <c r="I31" s="47">
        <f>+'Pension &amp; Fringes Ratio'!K14</f>
        <v>6.2353208427215305E-2</v>
      </c>
    </row>
    <row r="32" spans="1:21">
      <c r="A32" s="44">
        <f>MAX(A$6:A31)+1</f>
        <v>17</v>
      </c>
      <c r="B32" s="16" t="s">
        <v>88</v>
      </c>
      <c r="C32" s="110">
        <f t="shared" ref="C32" si="13">SUM(C29:C31)</f>
        <v>0.82548981409407141</v>
      </c>
      <c r="D32" s="110">
        <f t="shared" ref="D32:I32" si="14">SUM(D29:D31)</f>
        <v>0.83255807979950114</v>
      </c>
      <c r="E32" s="110">
        <f t="shared" si="14"/>
        <v>0.83095108645782689</v>
      </c>
      <c r="F32" s="110">
        <f t="shared" si="14"/>
        <v>0.82561881320930874</v>
      </c>
      <c r="G32" s="110">
        <f t="shared" si="14"/>
        <v>0.82230671931808597</v>
      </c>
      <c r="H32" s="110">
        <f t="shared" si="14"/>
        <v>0.81802740929548645</v>
      </c>
      <c r="I32" s="110">
        <f t="shared" si="14"/>
        <v>0.81358027563039148</v>
      </c>
    </row>
    <row r="33" spans="1:21">
      <c r="A33" s="46">
        <f>MAX(A$6:A32)+1</f>
        <v>18</v>
      </c>
      <c r="B33" s="14" t="s">
        <v>89</v>
      </c>
      <c r="C33" s="14"/>
      <c r="D33" s="49">
        <f>ROUND(+D$25*D29,-3)</f>
        <v>0</v>
      </c>
      <c r="E33" s="49">
        <f t="shared" ref="E33:H35" si="15">ROUND(+E$25*E29,-3)</f>
        <v>0</v>
      </c>
      <c r="F33" s="49">
        <f t="shared" si="15"/>
        <v>0</v>
      </c>
      <c r="G33" s="49">
        <f t="shared" si="15"/>
        <v>0</v>
      </c>
      <c r="H33" s="49">
        <f t="shared" si="15"/>
        <v>0</v>
      </c>
      <c r="I33" s="49">
        <f t="shared" ref="I33" si="16">ROUND(+I$25*I29,-3)</f>
        <v>0</v>
      </c>
      <c r="J33" s="1"/>
      <c r="K33" s="1"/>
      <c r="L33" s="1"/>
      <c r="M33" s="1"/>
      <c r="N33" s="5">
        <v>1</v>
      </c>
      <c r="P33" s="114">
        <f t="shared" ref="P33:U35" si="17">+D33*$N33</f>
        <v>0</v>
      </c>
      <c r="Q33" s="114">
        <f t="shared" si="17"/>
        <v>0</v>
      </c>
      <c r="R33" s="114">
        <f t="shared" si="17"/>
        <v>0</v>
      </c>
      <c r="S33" s="114">
        <f t="shared" si="17"/>
        <v>0</v>
      </c>
      <c r="T33" s="114">
        <f t="shared" si="17"/>
        <v>0</v>
      </c>
      <c r="U33" s="114">
        <f t="shared" si="17"/>
        <v>0</v>
      </c>
    </row>
    <row r="34" spans="1:21">
      <c r="A34" s="44">
        <f>MAX(A$6:A33)+1</f>
        <v>19</v>
      </c>
      <c r="B34" s="16" t="s">
        <v>90</v>
      </c>
      <c r="C34" s="16"/>
      <c r="D34" s="50">
        <f>ROUND(+D$25*D30,-3)</f>
        <v>0</v>
      </c>
      <c r="E34" s="50">
        <f t="shared" si="15"/>
        <v>0</v>
      </c>
      <c r="F34" s="50">
        <f t="shared" si="15"/>
        <v>0</v>
      </c>
      <c r="G34" s="50">
        <f t="shared" si="15"/>
        <v>0</v>
      </c>
      <c r="H34" s="50">
        <f t="shared" si="15"/>
        <v>0</v>
      </c>
      <c r="I34" s="50">
        <f t="shared" ref="I34" si="18">ROUND(+I$25*I30,-3)</f>
        <v>0</v>
      </c>
      <c r="J34" s="2"/>
      <c r="K34" s="2"/>
      <c r="L34" s="2"/>
      <c r="M34" s="2"/>
      <c r="N34" s="5">
        <v>1</v>
      </c>
      <c r="P34" s="114">
        <f t="shared" si="17"/>
        <v>0</v>
      </c>
      <c r="Q34" s="114">
        <f t="shared" si="17"/>
        <v>0</v>
      </c>
      <c r="R34" s="114">
        <f t="shared" si="17"/>
        <v>0</v>
      </c>
      <c r="S34" s="114">
        <f t="shared" si="17"/>
        <v>0</v>
      </c>
      <c r="T34" s="114">
        <f t="shared" si="17"/>
        <v>0</v>
      </c>
      <c r="U34" s="114">
        <f t="shared" si="17"/>
        <v>0</v>
      </c>
    </row>
    <row r="35" spans="1:21">
      <c r="A35" s="46">
        <f>MAX(A$6:A34)+1</f>
        <v>20</v>
      </c>
      <c r="B35" s="14" t="s">
        <v>91</v>
      </c>
      <c r="C35" s="14"/>
      <c r="D35" s="49">
        <f>ROUND(+D$25*D31,-3)</f>
        <v>0</v>
      </c>
      <c r="E35" s="49">
        <f t="shared" si="15"/>
        <v>0</v>
      </c>
      <c r="F35" s="49">
        <f t="shared" si="15"/>
        <v>0</v>
      </c>
      <c r="G35" s="49">
        <f t="shared" si="15"/>
        <v>0</v>
      </c>
      <c r="H35" s="49">
        <f t="shared" si="15"/>
        <v>0</v>
      </c>
      <c r="I35" s="49">
        <f t="shared" ref="I35" si="19">ROUND(+I$25*I31,-3)</f>
        <v>0</v>
      </c>
      <c r="J35" s="2"/>
      <c r="K35" s="2"/>
      <c r="L35" s="2"/>
      <c r="M35" s="2"/>
      <c r="N35" s="5">
        <v>1</v>
      </c>
      <c r="P35" s="114">
        <f t="shared" si="17"/>
        <v>0</v>
      </c>
      <c r="Q35" s="114">
        <f t="shared" si="17"/>
        <v>0</v>
      </c>
      <c r="R35" s="114">
        <f t="shared" si="17"/>
        <v>0</v>
      </c>
      <c r="S35" s="114">
        <f t="shared" si="17"/>
        <v>0</v>
      </c>
      <c r="T35" s="114">
        <f t="shared" si="17"/>
        <v>0</v>
      </c>
      <c r="U35" s="114">
        <f t="shared" si="17"/>
        <v>0</v>
      </c>
    </row>
    <row r="36" spans="1:21">
      <c r="A36" s="44"/>
      <c r="B36" s="16"/>
      <c r="C36" s="16"/>
      <c r="D36" s="16"/>
      <c r="E36" s="16"/>
      <c r="F36" s="16"/>
      <c r="G36" s="16"/>
      <c r="H36" s="45"/>
      <c r="I36" s="45"/>
    </row>
    <row r="37" spans="1:21">
      <c r="A37" s="46">
        <f>MAX(A$6:A36)+1</f>
        <v>21</v>
      </c>
      <c r="B37" s="31" t="s">
        <v>28</v>
      </c>
      <c r="C37" s="32"/>
      <c r="D37" s="32">
        <f t="shared" ref="D37:I37" si="20">SUM(D33:D36)</f>
        <v>0</v>
      </c>
      <c r="E37" s="32">
        <f t="shared" si="20"/>
        <v>0</v>
      </c>
      <c r="F37" s="32">
        <f t="shared" si="20"/>
        <v>0</v>
      </c>
      <c r="G37" s="32">
        <f t="shared" si="20"/>
        <v>0</v>
      </c>
      <c r="H37" s="32">
        <f t="shared" si="20"/>
        <v>0</v>
      </c>
      <c r="I37" s="32">
        <f t="shared" si="20"/>
        <v>0</v>
      </c>
      <c r="O37" s="32"/>
      <c r="P37" s="32">
        <f>SUM(P33:P36)</f>
        <v>0</v>
      </c>
      <c r="Q37" s="32">
        <f>SUM(Q33:Q36)</f>
        <v>0</v>
      </c>
      <c r="R37" s="32">
        <f>SUM(R33:R36)</f>
        <v>0</v>
      </c>
      <c r="S37" s="32">
        <f>SUM(S33:S36)</f>
        <v>0</v>
      </c>
      <c r="T37" s="32">
        <f>SUM(T33:T36)</f>
        <v>0</v>
      </c>
      <c r="U37" s="32">
        <f t="shared" ref="U37" si="21">SUM(U33:U36)</f>
        <v>0</v>
      </c>
    </row>
    <row r="38" spans="1:21">
      <c r="A38" s="44"/>
      <c r="B38" s="16"/>
      <c r="C38" s="16"/>
      <c r="D38" s="16"/>
      <c r="E38" s="16"/>
      <c r="F38" s="16"/>
      <c r="G38" s="16"/>
      <c r="H38" s="45"/>
      <c r="I38" s="45"/>
      <c r="O38" s="16"/>
      <c r="P38" s="16"/>
      <c r="Q38" s="16"/>
      <c r="R38" s="16"/>
      <c r="S38" s="16"/>
      <c r="T38" s="45"/>
      <c r="U38" s="16"/>
    </row>
    <row r="39" spans="1:21">
      <c r="A39" s="46">
        <f>MAX(A$6:A38)+1</f>
        <v>22</v>
      </c>
      <c r="B39" s="31" t="s">
        <v>40</v>
      </c>
      <c r="C39" s="32"/>
      <c r="D39" s="32">
        <f>+D37+D25</f>
        <v>0</v>
      </c>
      <c r="E39" s="32">
        <f>+E37+E25</f>
        <v>0</v>
      </c>
      <c r="F39" s="32">
        <f>+F37+F25</f>
        <v>0</v>
      </c>
      <c r="G39" s="32">
        <f>+G37+G25</f>
        <v>0</v>
      </c>
      <c r="H39" s="32">
        <f t="shared" ref="H39:I39" si="22">+H37+H25</f>
        <v>0</v>
      </c>
      <c r="I39" s="32">
        <f t="shared" si="22"/>
        <v>0</v>
      </c>
      <c r="O39" s="32"/>
      <c r="P39" s="32">
        <f>+P37+P25</f>
        <v>0</v>
      </c>
      <c r="Q39" s="32">
        <f>+Q37+Q25</f>
        <v>0</v>
      </c>
      <c r="R39" s="32">
        <f>+R37+R25</f>
        <v>0</v>
      </c>
      <c r="S39" s="32">
        <f>+S37+S25</f>
        <v>0</v>
      </c>
      <c r="T39" s="32">
        <f t="shared" ref="T39:U39" si="23">+T37+T25</f>
        <v>0</v>
      </c>
      <c r="U39" s="32">
        <f t="shared" si="23"/>
        <v>0</v>
      </c>
    </row>
    <row r="40" spans="1:21">
      <c r="A40" s="23"/>
      <c r="B40" s="22"/>
      <c r="C40" s="22"/>
      <c r="D40" s="22"/>
      <c r="E40" s="22"/>
      <c r="F40" s="39"/>
      <c r="G40" s="39"/>
      <c r="H40" s="39"/>
      <c r="I40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11CE9-AD5A-46A0-A510-CC9EF18A3CAC}">
  <dimension ref="A1:U52"/>
  <sheetViews>
    <sheetView showGridLines="0" workbookViewId="0"/>
  </sheetViews>
  <sheetFormatPr defaultColWidth="8.7109375" defaultRowHeight="15"/>
  <cols>
    <col min="1" max="1" width="10.5703125" customWidth="1"/>
    <col min="2" max="2" width="30.5703125" customWidth="1"/>
    <col min="3" max="3" width="13.7109375" customWidth="1"/>
    <col min="4" max="4" width="12.5703125" customWidth="1"/>
    <col min="5" max="5" width="13.5703125" customWidth="1"/>
    <col min="6" max="9" width="12.5703125" customWidth="1"/>
    <col min="10" max="10" width="12.5703125" hidden="1" customWidth="1"/>
    <col min="11" max="11" width="12.5703125" customWidth="1"/>
    <col min="12" max="12" width="36.140625" customWidth="1"/>
    <col min="13" max="13" width="23.28515625" customWidth="1"/>
    <col min="14" max="14" width="14" customWidth="1"/>
    <col min="15" max="21" width="12.85546875" customWidth="1"/>
  </cols>
  <sheetData>
    <row r="1" spans="1:21" ht="19.5" thickTop="1">
      <c r="A1" s="9" t="s">
        <v>100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#8 - FY 2024 Additional Staffing Needs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B2" s="43"/>
    </row>
    <row r="3" spans="1:21" ht="18" thickTop="1">
      <c r="A3" s="19" t="s">
        <v>1</v>
      </c>
      <c r="B3" s="20" t="s">
        <v>50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4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  <c r="N4" t="s">
        <v>6</v>
      </c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4">
        <v>1</v>
      </c>
      <c r="B6" s="29" t="s">
        <v>16</v>
      </c>
      <c r="C6" s="5"/>
      <c r="D6" s="5">
        <v>0</v>
      </c>
      <c r="E6" s="5">
        <v>0</v>
      </c>
      <c r="F6" s="117">
        <v>0.03</v>
      </c>
      <c r="G6" s="117">
        <v>0.03</v>
      </c>
      <c r="H6" s="117">
        <v>0.03</v>
      </c>
      <c r="I6" s="117">
        <v>0.03</v>
      </c>
    </row>
    <row r="7" spans="1:21">
      <c r="A7" s="55">
        <f>MAX(A$6:A6)+1</f>
        <v>2</v>
      </c>
      <c r="B7" s="14" t="s">
        <v>34</v>
      </c>
      <c r="C7" s="71"/>
      <c r="D7" s="71"/>
      <c r="E7" s="71">
        <f t="shared" ref="E7" si="2">+(1+C6)*(1+D6)*(1+E6)-1</f>
        <v>0</v>
      </c>
      <c r="F7" s="71">
        <f>+(1+D6)*(1+E6)*(1+F6)-1</f>
        <v>3.0000000000000027E-2</v>
      </c>
      <c r="G7" s="71">
        <f>+(1+D6)*(1+E6)*(1+F6)*(1+G6)-1</f>
        <v>6.0899999999999954E-2</v>
      </c>
      <c r="H7" s="71">
        <f>+(1+D6)*(1+E6)*(1+F6)*(1+G6)*(1+H6)-1</f>
        <v>9.2727000000000004E-2</v>
      </c>
      <c r="I7" s="71">
        <f>+(1+D6)*(1+E6)*(1+F6)*(1+G6)*(1+H6)*(1+I6)-1</f>
        <v>0.12550881000000014</v>
      </c>
    </row>
    <row r="8" spans="1:21" ht="15.75">
      <c r="A8" s="8"/>
      <c r="B8" s="28" t="s">
        <v>101</v>
      </c>
      <c r="C8" s="28"/>
      <c r="D8" s="28"/>
      <c r="E8" s="28"/>
      <c r="F8" s="28"/>
      <c r="G8" s="28"/>
      <c r="H8" s="28"/>
      <c r="I8" s="28"/>
    </row>
    <row r="9" spans="1:21">
      <c r="A9" s="44"/>
      <c r="B9" s="16" t="s">
        <v>62</v>
      </c>
      <c r="C9" s="16"/>
      <c r="D9" s="16"/>
      <c r="E9" s="16"/>
      <c r="F9" s="109"/>
      <c r="G9" s="109"/>
      <c r="H9" s="45"/>
      <c r="I9" s="45"/>
    </row>
    <row r="10" spans="1:21">
      <c r="A10" s="46">
        <f>MAX(A$6:A9)+1</f>
        <v>3</v>
      </c>
      <c r="B10" s="60" t="s">
        <v>102</v>
      </c>
      <c r="C10" s="6">
        <v>0</v>
      </c>
      <c r="D10" s="6">
        <v>0</v>
      </c>
      <c r="E10" s="6">
        <v>73508.809040237335</v>
      </c>
      <c r="F10" s="123">
        <f>E10*4</f>
        <v>294035.23616094934</v>
      </c>
      <c r="G10" s="123">
        <f>F10</f>
        <v>294035.23616094934</v>
      </c>
      <c r="H10" s="123">
        <f t="shared" ref="H10:I10" si="3">G10</f>
        <v>294035.23616094934</v>
      </c>
      <c r="I10" s="123">
        <f t="shared" si="3"/>
        <v>294035.23616094934</v>
      </c>
      <c r="J10" s="1"/>
      <c r="K10" s="1"/>
      <c r="L10" s="1"/>
    </row>
    <row r="11" spans="1:21">
      <c r="A11" s="44">
        <f>MAX(A$6:A10)+1</f>
        <v>4</v>
      </c>
      <c r="B11" s="29" t="s">
        <v>9</v>
      </c>
      <c r="C11" s="6">
        <v>0</v>
      </c>
      <c r="D11" s="6">
        <v>0</v>
      </c>
      <c r="E11" s="6">
        <v>0</v>
      </c>
      <c r="F11" s="123">
        <f t="shared" ref="F11:F15" si="4">E11*4</f>
        <v>0</v>
      </c>
      <c r="G11" s="123">
        <f t="shared" ref="G11:G15" si="5">F11</f>
        <v>0</v>
      </c>
      <c r="H11" s="123">
        <f t="shared" ref="H11:I15" si="6">G11</f>
        <v>0</v>
      </c>
      <c r="I11" s="123">
        <f t="shared" si="6"/>
        <v>0</v>
      </c>
      <c r="J11" s="1"/>
      <c r="K11" s="1"/>
      <c r="L11" s="1"/>
    </row>
    <row r="12" spans="1:21">
      <c r="A12" s="46">
        <f>MAX(A$6:A11)+1</f>
        <v>5</v>
      </c>
      <c r="B12" s="60" t="s">
        <v>22</v>
      </c>
      <c r="C12" s="6">
        <v>0</v>
      </c>
      <c r="D12" s="6">
        <v>0</v>
      </c>
      <c r="E12" s="6">
        <v>171520.55442722043</v>
      </c>
      <c r="F12" s="123">
        <f t="shared" si="4"/>
        <v>686082.21770888171</v>
      </c>
      <c r="G12" s="123">
        <f t="shared" si="5"/>
        <v>686082.21770888171</v>
      </c>
      <c r="H12" s="123">
        <f t="shared" si="6"/>
        <v>686082.21770888171</v>
      </c>
      <c r="I12" s="123">
        <f t="shared" si="6"/>
        <v>686082.21770888171</v>
      </c>
      <c r="J12" s="1"/>
      <c r="K12" s="1"/>
      <c r="L12" s="1"/>
    </row>
    <row r="13" spans="1:21">
      <c r="A13" s="44">
        <f>MAX(A$6:A12)+1</f>
        <v>6</v>
      </c>
      <c r="B13" s="29" t="s">
        <v>103</v>
      </c>
      <c r="C13" s="6">
        <v>0</v>
      </c>
      <c r="D13" s="6">
        <v>0</v>
      </c>
      <c r="E13" s="6">
        <f>853518.949411645+98011.7453869831</f>
        <v>951530.6947986281</v>
      </c>
      <c r="F13" s="6">
        <f>E13*4+586794</f>
        <v>4392916.7791945124</v>
      </c>
      <c r="G13" s="6">
        <f>F13+(586794*3)</f>
        <v>6153298.7791945124</v>
      </c>
      <c r="H13" s="123">
        <f t="shared" si="6"/>
        <v>6153298.7791945124</v>
      </c>
      <c r="I13" s="123">
        <f t="shared" si="6"/>
        <v>6153298.7791945124</v>
      </c>
      <c r="J13" s="1"/>
      <c r="K13" s="1"/>
      <c r="L13" s="1"/>
    </row>
    <row r="14" spans="1:21">
      <c r="A14" s="46">
        <f>MAX(A$6:A13)+1</f>
        <v>7</v>
      </c>
      <c r="B14" s="25" t="s">
        <v>38</v>
      </c>
      <c r="C14" s="6">
        <v>0</v>
      </c>
      <c r="D14" s="6">
        <v>0</v>
      </c>
      <c r="E14" s="6">
        <v>220526.427120712</v>
      </c>
      <c r="F14" s="123">
        <f t="shared" si="4"/>
        <v>882105.70848284801</v>
      </c>
      <c r="G14" s="123">
        <f t="shared" si="5"/>
        <v>882105.70848284801</v>
      </c>
      <c r="H14" s="123">
        <f t="shared" si="6"/>
        <v>882105.70848284801</v>
      </c>
      <c r="I14" s="123">
        <f t="shared" si="6"/>
        <v>882105.70848284801</v>
      </c>
      <c r="J14" s="1"/>
      <c r="K14" s="1"/>
      <c r="L14" s="1"/>
    </row>
    <row r="15" spans="1:21">
      <c r="A15" s="44">
        <f>MAX(A$6:A14)+1</f>
        <v>8</v>
      </c>
      <c r="B15" s="16" t="s">
        <v>104</v>
      </c>
      <c r="C15" s="6">
        <v>0</v>
      </c>
      <c r="D15" s="6">
        <v>0</v>
      </c>
      <c r="E15" s="6">
        <v>367544.04520118667</v>
      </c>
      <c r="F15" s="123">
        <f t="shared" si="4"/>
        <v>1470176.1808047467</v>
      </c>
      <c r="G15" s="123">
        <f t="shared" si="5"/>
        <v>1470176.1808047467</v>
      </c>
      <c r="H15" s="123">
        <f t="shared" si="6"/>
        <v>1470176.1808047467</v>
      </c>
      <c r="I15" s="123">
        <f t="shared" si="6"/>
        <v>1470176.1808047467</v>
      </c>
      <c r="J15" s="1"/>
      <c r="K15" s="1"/>
      <c r="L15" s="1"/>
    </row>
    <row r="16" spans="1:21">
      <c r="A16" s="46">
        <f>MAX(A$6:A15)+1</f>
        <v>9</v>
      </c>
      <c r="B16" s="14" t="s">
        <v>23</v>
      </c>
      <c r="C16" s="15">
        <f t="shared" ref="C16:D16" si="7">SUM(C10:C10)</f>
        <v>0</v>
      </c>
      <c r="D16" s="15">
        <f t="shared" si="7"/>
        <v>0</v>
      </c>
      <c r="E16" s="15">
        <f>SUM(E10:E15)</f>
        <v>1784630.5305879842</v>
      </c>
      <c r="F16" s="15">
        <f t="shared" ref="F16:I16" si="8">SUM(F10:F15)</f>
        <v>7725316.122351937</v>
      </c>
      <c r="G16" s="15">
        <f t="shared" si="8"/>
        <v>9485698.122351937</v>
      </c>
      <c r="H16" s="15">
        <f t="shared" si="8"/>
        <v>9485698.122351937</v>
      </c>
      <c r="I16" s="15">
        <f t="shared" si="8"/>
        <v>9485698.122351937</v>
      </c>
    </row>
    <row r="17" spans="1:21">
      <c r="A17" s="44"/>
      <c r="B17" s="16"/>
      <c r="C17" s="17"/>
      <c r="D17" s="17"/>
      <c r="E17" s="17"/>
      <c r="F17" s="17"/>
      <c r="G17" s="17"/>
      <c r="H17" s="17"/>
      <c r="I17" s="17"/>
    </row>
    <row r="18" spans="1:21">
      <c r="A18" s="46">
        <f>MAX(A$6:A17)+1</f>
        <v>10</v>
      </c>
      <c r="B18" s="60" t="s">
        <v>102</v>
      </c>
      <c r="C18" s="15">
        <f t="shared" ref="C18:D18" si="9">+C10*(1+C$7)</f>
        <v>0</v>
      </c>
      <c r="D18" s="15">
        <f t="shared" si="9"/>
        <v>0</v>
      </c>
      <c r="E18" s="15">
        <f>+E10*(1+E$7)</f>
        <v>73508.809040237335</v>
      </c>
      <c r="F18" s="15">
        <f>+F10*(1+F$7)</f>
        <v>302856.29324577784</v>
      </c>
      <c r="G18" s="15">
        <f t="shared" ref="G18:I18" si="10">+G10*(1+G$7)</f>
        <v>311941.98204315116</v>
      </c>
      <c r="H18" s="15">
        <f t="shared" si="10"/>
        <v>321300.24150444567</v>
      </c>
      <c r="I18" s="15">
        <f t="shared" si="10"/>
        <v>330939.24874957907</v>
      </c>
      <c r="M18" s="60" t="s">
        <v>102</v>
      </c>
      <c r="N18" s="5">
        <v>0.9622716067574133</v>
      </c>
      <c r="P18" s="114">
        <f t="shared" ref="P18:U23" si="11">+D18*$N18</f>
        <v>0</v>
      </c>
      <c r="Q18" s="114">
        <f t="shared" si="11"/>
        <v>70735.439785973052</v>
      </c>
      <c r="R18" s="114">
        <f t="shared" si="11"/>
        <v>291430.01191820897</v>
      </c>
      <c r="S18" s="114">
        <f t="shared" si="11"/>
        <v>300172.91227575525</v>
      </c>
      <c r="T18" s="114">
        <f t="shared" si="11"/>
        <v>309178.09964402788</v>
      </c>
      <c r="U18" s="114">
        <f t="shared" si="11"/>
        <v>318453.44263334875</v>
      </c>
    </row>
    <row r="19" spans="1:21">
      <c r="A19" s="44">
        <f>MAX(A$6:A18)+1</f>
        <v>11</v>
      </c>
      <c r="B19" s="29" t="s">
        <v>9</v>
      </c>
      <c r="C19" s="17">
        <f t="shared" ref="C19:E19" si="12">+C11*(1+C$7)</f>
        <v>0</v>
      </c>
      <c r="D19" s="17">
        <f t="shared" si="12"/>
        <v>0</v>
      </c>
      <c r="E19" s="17">
        <f t="shared" si="12"/>
        <v>0</v>
      </c>
      <c r="F19" s="17">
        <f t="shared" ref="F19:I23" si="13">+F11*(1+F$7)</f>
        <v>0</v>
      </c>
      <c r="G19" s="17">
        <f t="shared" si="13"/>
        <v>0</v>
      </c>
      <c r="H19" s="17">
        <f t="shared" si="13"/>
        <v>0</v>
      </c>
      <c r="I19" s="17">
        <f t="shared" si="13"/>
        <v>0</v>
      </c>
      <c r="M19" s="29" t="s">
        <v>9</v>
      </c>
      <c r="N19" s="5">
        <v>0.81913409318827202</v>
      </c>
      <c r="P19" s="114">
        <f t="shared" si="11"/>
        <v>0</v>
      </c>
      <c r="Q19" s="114">
        <f t="shared" si="11"/>
        <v>0</v>
      </c>
      <c r="R19" s="114">
        <f t="shared" si="11"/>
        <v>0</v>
      </c>
      <c r="S19" s="114">
        <f t="shared" si="11"/>
        <v>0</v>
      </c>
      <c r="T19" s="114">
        <f t="shared" si="11"/>
        <v>0</v>
      </c>
      <c r="U19" s="114">
        <f t="shared" si="11"/>
        <v>0</v>
      </c>
    </row>
    <row r="20" spans="1:21">
      <c r="A20" s="46">
        <f>MAX(A$6:A19)+1</f>
        <v>12</v>
      </c>
      <c r="B20" s="60" t="s">
        <v>22</v>
      </c>
      <c r="C20" s="15">
        <f t="shared" ref="C20:E20" si="14">+C12*(1+C$7)</f>
        <v>0</v>
      </c>
      <c r="D20" s="15">
        <f t="shared" si="14"/>
        <v>0</v>
      </c>
      <c r="E20" s="15">
        <f t="shared" si="14"/>
        <v>171520.55442722043</v>
      </c>
      <c r="F20" s="15">
        <f t="shared" si="13"/>
        <v>706664.68424014817</v>
      </c>
      <c r="G20" s="15">
        <f t="shared" si="13"/>
        <v>727864.62476735259</v>
      </c>
      <c r="H20" s="15">
        <f t="shared" si="13"/>
        <v>749700.56351037323</v>
      </c>
      <c r="I20" s="15">
        <f t="shared" si="13"/>
        <v>772191.5804156845</v>
      </c>
      <c r="M20" s="60" t="s">
        <v>22</v>
      </c>
      <c r="N20" s="5">
        <v>0.93547139326740736</v>
      </c>
      <c r="P20" s="114">
        <f t="shared" si="11"/>
        <v>0</v>
      </c>
      <c r="Q20" s="114">
        <f t="shared" si="11"/>
        <v>160452.57202403006</v>
      </c>
      <c r="R20" s="114">
        <f t="shared" si="11"/>
        <v>661064.5967390039</v>
      </c>
      <c r="S20" s="114">
        <f t="shared" si="11"/>
        <v>680896.53464117402</v>
      </c>
      <c r="T20" s="114">
        <f t="shared" si="11"/>
        <v>701323.43068040931</v>
      </c>
      <c r="U20" s="114">
        <f t="shared" si="11"/>
        <v>722363.1336008216</v>
      </c>
    </row>
    <row r="21" spans="1:21">
      <c r="A21" s="44">
        <f>MAX(A$6:A20)+1</f>
        <v>13</v>
      </c>
      <c r="B21" s="29" t="s">
        <v>103</v>
      </c>
      <c r="C21" s="17">
        <f t="shared" ref="C21:E21" si="15">+C13*(1+C$7)</f>
        <v>0</v>
      </c>
      <c r="D21" s="17">
        <f t="shared" si="15"/>
        <v>0</v>
      </c>
      <c r="E21" s="17">
        <f t="shared" si="15"/>
        <v>951530.6947986281</v>
      </c>
      <c r="F21" s="17">
        <f t="shared" si="13"/>
        <v>4524704.2825703481</v>
      </c>
      <c r="G21" s="17">
        <f t="shared" si="13"/>
        <v>6528034.6748474576</v>
      </c>
      <c r="H21" s="17">
        <f t="shared" si="13"/>
        <v>6723875.7150928816</v>
      </c>
      <c r="I21" s="17">
        <f t="shared" si="13"/>
        <v>6925591.9865456689</v>
      </c>
      <c r="M21" s="29" t="s">
        <v>103</v>
      </c>
      <c r="N21" s="5">
        <v>0.94469212662874791</v>
      </c>
      <c r="P21" s="114">
        <f t="shared" si="11"/>
        <v>0</v>
      </c>
      <c r="Q21" s="114">
        <f t="shared" si="11"/>
        <v>898903.55562184611</v>
      </c>
      <c r="R21" s="114">
        <f t="shared" si="11"/>
        <v>4274452.5110675851</v>
      </c>
      <c r="S21" s="114">
        <f t="shared" si="11"/>
        <v>6166982.9596878514</v>
      </c>
      <c r="T21" s="114">
        <f t="shared" si="11"/>
        <v>6351992.4484784873</v>
      </c>
      <c r="U21" s="114">
        <f t="shared" si="11"/>
        <v>6542552.2219328424</v>
      </c>
    </row>
    <row r="22" spans="1:21">
      <c r="A22" s="46">
        <f>MAX(A$6:A21)+1</f>
        <v>14</v>
      </c>
      <c r="B22" s="25" t="s">
        <v>38</v>
      </c>
      <c r="C22" s="15">
        <f t="shared" ref="C22:E22" si="16">+C14*(1+C$7)</f>
        <v>0</v>
      </c>
      <c r="D22" s="15">
        <f t="shared" si="16"/>
        <v>0</v>
      </c>
      <c r="E22" s="15">
        <f t="shared" si="16"/>
        <v>220526.427120712</v>
      </c>
      <c r="F22" s="15">
        <f t="shared" si="13"/>
        <v>908568.87973733351</v>
      </c>
      <c r="G22" s="15">
        <f t="shared" si="13"/>
        <v>935825.94612945337</v>
      </c>
      <c r="H22" s="15">
        <f t="shared" si="13"/>
        <v>963900.72451333702</v>
      </c>
      <c r="I22" s="15">
        <f t="shared" si="13"/>
        <v>992817.74624873733</v>
      </c>
      <c r="M22" s="25" t="s">
        <v>38</v>
      </c>
      <c r="N22" s="5">
        <v>0.96245315015856059</v>
      </c>
      <c r="P22" s="114">
        <f t="shared" si="11"/>
        <v>0</v>
      </c>
      <c r="Q22" s="114">
        <f t="shared" si="11"/>
        <v>212246.35447554151</v>
      </c>
      <c r="R22" s="114">
        <f t="shared" si="11"/>
        <v>874454.98043923103</v>
      </c>
      <c r="S22" s="114">
        <f t="shared" si="11"/>
        <v>900688.62985240784</v>
      </c>
      <c r="T22" s="114">
        <f t="shared" si="11"/>
        <v>927709.28874798014</v>
      </c>
      <c r="U22" s="114">
        <f t="shared" si="11"/>
        <v>955540.5674104197</v>
      </c>
    </row>
    <row r="23" spans="1:21" s="4" customFormat="1">
      <c r="A23" s="44">
        <f>MAX(A$6:A22)+1</f>
        <v>15</v>
      </c>
      <c r="B23" s="16" t="s">
        <v>104</v>
      </c>
      <c r="C23" s="17">
        <f t="shared" ref="C23:E23" si="17">+C15*(1+C$7)</f>
        <v>0</v>
      </c>
      <c r="D23" s="17">
        <f t="shared" si="17"/>
        <v>0</v>
      </c>
      <c r="E23" s="17">
        <f t="shared" si="17"/>
        <v>367544.04520118667</v>
      </c>
      <c r="F23" s="17">
        <f t="shared" si="13"/>
        <v>1514281.4662288891</v>
      </c>
      <c r="G23" s="17">
        <f t="shared" si="13"/>
        <v>1559709.9102157557</v>
      </c>
      <c r="H23" s="17">
        <f t="shared" si="13"/>
        <v>1606501.2075222284</v>
      </c>
      <c r="I23" s="17">
        <f t="shared" si="13"/>
        <v>1654696.2437478956</v>
      </c>
      <c r="M23" s="16" t="s">
        <v>104</v>
      </c>
      <c r="N23" s="5">
        <v>0.95500108784270032</v>
      </c>
      <c r="O23"/>
      <c r="P23" s="114">
        <f t="shared" si="11"/>
        <v>0</v>
      </c>
      <c r="Q23" s="114">
        <f t="shared" si="11"/>
        <v>351004.9629972399</v>
      </c>
      <c r="R23" s="114">
        <f t="shared" si="11"/>
        <v>1446140.4475486283</v>
      </c>
      <c r="S23" s="114">
        <f t="shared" si="11"/>
        <v>1489524.6609750872</v>
      </c>
      <c r="T23" s="114">
        <f t="shared" si="11"/>
        <v>1534210.4008043397</v>
      </c>
      <c r="U23" s="114">
        <f t="shared" si="11"/>
        <v>1580236.7128284704</v>
      </c>
    </row>
    <row r="24" spans="1:21" s="4" customFormat="1">
      <c r="A24" s="46">
        <f>MAX(A$6:A23)+1</f>
        <v>16</v>
      </c>
      <c r="B24" s="128" t="s">
        <v>39</v>
      </c>
      <c r="C24" s="129">
        <f t="shared" ref="C24:D24" si="18">SUM(C18:C23)</f>
        <v>0</v>
      </c>
      <c r="D24" s="129">
        <f t="shared" si="18"/>
        <v>0</v>
      </c>
      <c r="E24" s="129">
        <f>SUM(E18:E23)</f>
        <v>1784630.5305879842</v>
      </c>
      <c r="F24" s="129">
        <f t="shared" ref="F24:I24" si="19">SUM(F18:F23)</f>
        <v>7957075.6060224967</v>
      </c>
      <c r="G24" s="129">
        <f t="shared" si="19"/>
        <v>10063377.13800317</v>
      </c>
      <c r="H24" s="129">
        <f t="shared" si="19"/>
        <v>10365278.452143267</v>
      </c>
      <c r="I24" s="129">
        <f t="shared" si="19"/>
        <v>10676236.805707565</v>
      </c>
      <c r="N24" s="134"/>
      <c r="O24" s="114"/>
      <c r="P24" s="114"/>
      <c r="Q24" s="114"/>
      <c r="R24" s="114"/>
      <c r="S24" s="114"/>
      <c r="T24" s="114"/>
      <c r="U24" s="114"/>
    </row>
    <row r="25" spans="1:21" ht="15.75">
      <c r="A25" s="132"/>
      <c r="B25" s="28" t="s">
        <v>105</v>
      </c>
      <c r="C25" s="28"/>
      <c r="D25" s="28"/>
      <c r="E25" s="28"/>
      <c r="F25" s="161"/>
      <c r="G25" s="28"/>
      <c r="H25" s="28"/>
      <c r="I25" s="28"/>
    </row>
    <row r="26" spans="1:21">
      <c r="A26" s="44"/>
      <c r="B26" s="16" t="s">
        <v>62</v>
      </c>
      <c r="C26" s="16"/>
      <c r="D26" s="16"/>
      <c r="E26" s="16"/>
      <c r="F26" s="109"/>
      <c r="G26" s="109"/>
      <c r="H26" s="45"/>
      <c r="I26" s="45"/>
      <c r="M26" s="128" t="s">
        <v>88</v>
      </c>
      <c r="O26" s="32">
        <f>SUM(O18:O23)</f>
        <v>0</v>
      </c>
      <c r="P26" s="32">
        <f t="shared" ref="P26" si="20">SUM(P18:P23)</f>
        <v>0</v>
      </c>
      <c r="Q26" s="32">
        <f>SUM(Q18:Q23)</f>
        <v>1693342.8849046305</v>
      </c>
      <c r="R26" s="32">
        <f t="shared" ref="R26:T26" si="21">SUM(R18:R23)</f>
        <v>7547542.5477126576</v>
      </c>
      <c r="S26" s="32">
        <f t="shared" si="21"/>
        <v>9538265.6974322759</v>
      </c>
      <c r="T26" s="32">
        <f t="shared" si="21"/>
        <v>9824413.6683552451</v>
      </c>
      <c r="U26" s="32">
        <f t="shared" ref="U26" si="22">SUM(U18:U23)</f>
        <v>10119146.078405904</v>
      </c>
    </row>
    <row r="27" spans="1:21">
      <c r="A27" s="46">
        <f>MAX(A$6:A26)+1</f>
        <v>17</v>
      </c>
      <c r="B27" s="60" t="s">
        <v>96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"/>
    </row>
    <row r="28" spans="1:21">
      <c r="A28" s="44"/>
      <c r="B28" s="16"/>
      <c r="C28" s="16"/>
      <c r="D28" s="16"/>
      <c r="E28" s="16"/>
      <c r="F28" s="16"/>
      <c r="G28" s="16"/>
      <c r="H28" s="45"/>
      <c r="I28" s="45"/>
    </row>
    <row r="29" spans="1:21">
      <c r="A29" s="133">
        <f>MAX(A$6:A28)+1</f>
        <v>18</v>
      </c>
      <c r="B29" s="31" t="s">
        <v>55</v>
      </c>
      <c r="C29" s="32">
        <f t="shared" ref="C29:E29" si="23">+C27*(1+C$7)</f>
        <v>0</v>
      </c>
      <c r="D29" s="32">
        <f>+D27*(1+D$7)</f>
        <v>0</v>
      </c>
      <c r="E29" s="32">
        <f t="shared" si="23"/>
        <v>0</v>
      </c>
      <c r="F29" s="32">
        <f t="shared" ref="F29:I29" si="24">+F27*(1+F$7)</f>
        <v>0</v>
      </c>
      <c r="G29" s="32">
        <f t="shared" si="24"/>
        <v>0</v>
      </c>
      <c r="H29" s="32">
        <f t="shared" si="24"/>
        <v>0</v>
      </c>
      <c r="I29" s="32">
        <f t="shared" si="24"/>
        <v>0</v>
      </c>
    </row>
    <row r="30" spans="1:21">
      <c r="A30" s="44"/>
      <c r="B30" s="16"/>
      <c r="C30" s="16"/>
      <c r="D30" s="16"/>
      <c r="E30" s="16"/>
      <c r="F30" s="16"/>
      <c r="G30" s="16"/>
      <c r="H30" s="45"/>
      <c r="I30" s="45"/>
    </row>
    <row r="31" spans="1:21">
      <c r="A31" s="133">
        <f>MAX(A$6:A30)+1</f>
        <v>19</v>
      </c>
      <c r="B31" s="26" t="s">
        <v>11</v>
      </c>
      <c r="C31" s="32">
        <f t="shared" ref="C31:H31" si="25">+C29+C24</f>
        <v>0</v>
      </c>
      <c r="D31" s="32">
        <f t="shared" si="25"/>
        <v>0</v>
      </c>
      <c r="E31" s="32">
        <f t="shared" si="25"/>
        <v>1784630.5305879842</v>
      </c>
      <c r="F31" s="32">
        <f t="shared" si="25"/>
        <v>7957075.6060224967</v>
      </c>
      <c r="G31" s="32">
        <f t="shared" si="25"/>
        <v>10063377.13800317</v>
      </c>
      <c r="H31" s="32">
        <f t="shared" si="25"/>
        <v>10365278.452143267</v>
      </c>
      <c r="I31" s="32">
        <f t="shared" ref="I31" si="26">+I29+I24</f>
        <v>10676236.805707565</v>
      </c>
    </row>
    <row r="32" spans="1:21">
      <c r="A32" s="44"/>
      <c r="B32" s="16"/>
      <c r="C32" s="16"/>
      <c r="D32" s="16"/>
      <c r="E32" s="16"/>
      <c r="F32" s="16"/>
      <c r="G32" s="16"/>
      <c r="H32" s="45"/>
      <c r="I32" s="45"/>
    </row>
    <row r="33" spans="1:21" ht="15.75">
      <c r="A33" s="8"/>
      <c r="B33" s="28" t="s">
        <v>83</v>
      </c>
      <c r="C33" s="28"/>
      <c r="D33" s="28"/>
      <c r="E33" s="28"/>
      <c r="F33" s="28"/>
      <c r="G33" s="28"/>
      <c r="H33" s="28"/>
      <c r="I33" s="28"/>
    </row>
    <row r="34" spans="1:21" ht="15.75">
      <c r="A34" s="8"/>
      <c r="B34" s="28" t="s">
        <v>84</v>
      </c>
      <c r="C34" s="28"/>
      <c r="D34" s="28"/>
      <c r="E34" s="28"/>
      <c r="F34" s="28"/>
      <c r="G34" s="28"/>
      <c r="H34" s="28"/>
      <c r="I34" s="28"/>
      <c r="N34" s="134"/>
      <c r="P34" s="114"/>
      <c r="Q34" s="114"/>
      <c r="R34" s="114"/>
      <c r="S34" s="114"/>
      <c r="T34" s="114"/>
      <c r="U34" s="114"/>
    </row>
    <row r="35" spans="1:21">
      <c r="A35" s="46">
        <f>MAX(A$6:A34)+1</f>
        <v>20</v>
      </c>
      <c r="B35" s="14" t="s">
        <v>85</v>
      </c>
      <c r="C35" s="47">
        <f>+'Pension &amp; Fringes Ratio'!E12</f>
        <v>0.39900412395768614</v>
      </c>
      <c r="D35" s="47">
        <f>+'Pension &amp; Fringes Ratio'!F12</f>
        <v>0.41580960355225755</v>
      </c>
      <c r="E35" s="47">
        <f>+'Pension &amp; Fringes Ratio'!G12</f>
        <v>0.41865776842720981</v>
      </c>
      <c r="F35" s="47">
        <f>+'Pension &amp; Fringes Ratio'!H12</f>
        <v>0.42478697636701074</v>
      </c>
      <c r="G35" s="47">
        <f>+'Pension &amp; Fringes Ratio'!I12</f>
        <v>0.43102784918593423</v>
      </c>
      <c r="H35" s="47">
        <f>+'Pension &amp; Fringes Ratio'!J12</f>
        <v>0.43657739089624953</v>
      </c>
      <c r="I35" s="47">
        <f>+'Pension &amp; Fringes Ratio'!K12</f>
        <v>0.44219838370480069</v>
      </c>
      <c r="N35" s="134"/>
      <c r="P35" s="114"/>
      <c r="Q35" s="114"/>
      <c r="R35" s="114"/>
      <c r="S35" s="114"/>
      <c r="T35" s="114"/>
      <c r="U35" s="114"/>
    </row>
    <row r="36" spans="1:21">
      <c r="A36" s="44">
        <f>MAX(A$6:A35)+1</f>
        <v>21</v>
      </c>
      <c r="B36" s="16" t="s">
        <v>86</v>
      </c>
      <c r="C36" s="45">
        <f>+'Pension &amp; Fringes Ratio'!E13</f>
        <v>0.37252820581911578</v>
      </c>
      <c r="D36" s="45">
        <f>+'Pension &amp; Fringes Ratio'!F13</f>
        <v>0.35310296108626987</v>
      </c>
      <c r="E36" s="45">
        <f>+'Pension &amp; Fringes Ratio'!G13</f>
        <v>0.34265790145175806</v>
      </c>
      <c r="F36" s="45">
        <f>+'Pension &amp; Fringes Ratio'!H13</f>
        <v>0.33322384281979445</v>
      </c>
      <c r="G36" s="45">
        <f>+'Pension &amp; Fringes Ratio'!I13</f>
        <v>0.32563972543586467</v>
      </c>
      <c r="H36" s="45">
        <f>+'Pension &amp; Fringes Ratio'!J13</f>
        <v>0.31722549652607956</v>
      </c>
      <c r="I36" s="45">
        <f>+'Pension &amp; Fringes Ratio'!K13</f>
        <v>0.30902868349837548</v>
      </c>
      <c r="N36" s="134"/>
      <c r="P36" s="114"/>
      <c r="Q36" s="114"/>
      <c r="R36" s="114"/>
      <c r="S36" s="114"/>
      <c r="T36" s="114"/>
      <c r="U36" s="114"/>
    </row>
    <row r="37" spans="1:21">
      <c r="A37" s="46">
        <f>MAX(A$6:A36)+1</f>
        <v>22</v>
      </c>
      <c r="B37" s="14" t="s">
        <v>87</v>
      </c>
      <c r="C37" s="47">
        <f>+'Pension &amp; Fringes Ratio'!E14</f>
        <v>5.3957484317269488E-2</v>
      </c>
      <c r="D37" s="47">
        <f>+'Pension &amp; Fringes Ratio'!F14</f>
        <v>6.3645515160973762E-2</v>
      </c>
      <c r="E37" s="47">
        <f>+'Pension &amp; Fringes Ratio'!G14</f>
        <v>6.963541657885905E-2</v>
      </c>
      <c r="F37" s="47">
        <f>+'Pension &amp; Fringes Ratio'!H14</f>
        <v>6.7607994022503629E-2</v>
      </c>
      <c r="G37" s="47">
        <f>+'Pension &amp; Fringes Ratio'!I14</f>
        <v>6.563914469628708E-2</v>
      </c>
      <c r="H37" s="47">
        <f>+'Pension &amp; Fringes Ratio'!J14</f>
        <v>6.4224521873157386E-2</v>
      </c>
      <c r="I37" s="47">
        <f>+'Pension &amp; Fringes Ratio'!K14</f>
        <v>6.2353208427215305E-2</v>
      </c>
    </row>
    <row r="38" spans="1:21">
      <c r="A38" s="44">
        <f>MAX(A$6:A37)+1</f>
        <v>23</v>
      </c>
      <c r="B38" s="16" t="s">
        <v>88</v>
      </c>
      <c r="C38" s="110">
        <f t="shared" ref="C38" si="27">SUM(C35:C37)</f>
        <v>0.82548981409407141</v>
      </c>
      <c r="D38" s="110">
        <f t="shared" ref="D38:I38" si="28">SUM(D35:D37)</f>
        <v>0.83255807979950114</v>
      </c>
      <c r="E38" s="110">
        <f t="shared" si="28"/>
        <v>0.83095108645782689</v>
      </c>
      <c r="F38" s="110">
        <f t="shared" si="28"/>
        <v>0.82561881320930874</v>
      </c>
      <c r="G38" s="110">
        <f t="shared" si="28"/>
        <v>0.82230671931808597</v>
      </c>
      <c r="H38" s="110">
        <f t="shared" si="28"/>
        <v>0.81802740929548645</v>
      </c>
      <c r="I38" s="110">
        <f t="shared" si="28"/>
        <v>0.81358027563039148</v>
      </c>
      <c r="O38" s="135"/>
      <c r="P38" s="135"/>
      <c r="Q38" s="135"/>
      <c r="R38" s="135"/>
      <c r="S38" s="135"/>
      <c r="T38" s="135"/>
      <c r="U38" s="135"/>
    </row>
    <row r="39" spans="1:21">
      <c r="A39" s="46">
        <f>MAX(A$6:A38)+1</f>
        <v>24</v>
      </c>
      <c r="B39" s="14" t="s">
        <v>89</v>
      </c>
      <c r="C39" s="14"/>
      <c r="D39" s="49">
        <f>ROUND(+D$31*D35,-3)</f>
        <v>0</v>
      </c>
      <c r="E39" s="49">
        <f t="shared" ref="E39:H41" si="29">ROUND(+E$31*E35,-3)</f>
        <v>747000</v>
      </c>
      <c r="F39" s="49">
        <f t="shared" si="29"/>
        <v>3380000</v>
      </c>
      <c r="G39" s="49">
        <f t="shared" si="29"/>
        <v>4338000</v>
      </c>
      <c r="H39" s="49">
        <f t="shared" si="29"/>
        <v>4525000</v>
      </c>
      <c r="I39" s="49">
        <f t="shared" ref="I39" si="30">ROUND(+I$31*I35,-3)</f>
        <v>4721000</v>
      </c>
      <c r="J39" s="1"/>
      <c r="K39" s="1"/>
      <c r="L39" s="1"/>
      <c r="N39" s="5">
        <v>1</v>
      </c>
      <c r="P39" s="114">
        <f t="shared" ref="P39:U41" si="31">+D39*$N39</f>
        <v>0</v>
      </c>
      <c r="Q39" s="114">
        <f t="shared" si="31"/>
        <v>747000</v>
      </c>
      <c r="R39" s="114">
        <f t="shared" si="31"/>
        <v>3380000</v>
      </c>
      <c r="S39" s="114">
        <f t="shared" si="31"/>
        <v>4338000</v>
      </c>
      <c r="T39" s="114">
        <f t="shared" si="31"/>
        <v>4525000</v>
      </c>
      <c r="U39" s="114">
        <f t="shared" si="31"/>
        <v>4721000</v>
      </c>
    </row>
    <row r="40" spans="1:21">
      <c r="A40" s="44">
        <f>MAX(A$6:A39)+1</f>
        <v>25</v>
      </c>
      <c r="B40" s="16" t="s">
        <v>90</v>
      </c>
      <c r="C40" s="16"/>
      <c r="D40" s="50">
        <f>ROUND(+D$31*D36,-3)</f>
        <v>0</v>
      </c>
      <c r="E40" s="50">
        <f t="shared" si="29"/>
        <v>612000</v>
      </c>
      <c r="F40" s="50">
        <f t="shared" si="29"/>
        <v>2651000</v>
      </c>
      <c r="G40" s="50">
        <f t="shared" si="29"/>
        <v>3277000</v>
      </c>
      <c r="H40" s="50">
        <f t="shared" si="29"/>
        <v>3288000</v>
      </c>
      <c r="I40" s="50">
        <f t="shared" ref="I40" si="32">ROUND(+I$31*I36,-3)</f>
        <v>3299000</v>
      </c>
      <c r="J40" s="2"/>
      <c r="K40" s="2"/>
      <c r="L40" s="2"/>
      <c r="N40" s="5">
        <v>1</v>
      </c>
      <c r="P40" s="114">
        <f t="shared" si="31"/>
        <v>0</v>
      </c>
      <c r="Q40" s="114">
        <f t="shared" si="31"/>
        <v>612000</v>
      </c>
      <c r="R40" s="114">
        <f t="shared" si="31"/>
        <v>2651000</v>
      </c>
      <c r="S40" s="114">
        <f t="shared" si="31"/>
        <v>3277000</v>
      </c>
      <c r="T40" s="114">
        <f t="shared" si="31"/>
        <v>3288000</v>
      </c>
      <c r="U40" s="114">
        <f t="shared" si="31"/>
        <v>3299000</v>
      </c>
    </row>
    <row r="41" spans="1:21">
      <c r="A41" s="46">
        <f>MAX(A$6:A40)+1</f>
        <v>26</v>
      </c>
      <c r="B41" s="14" t="s">
        <v>91</v>
      </c>
      <c r="C41" s="14"/>
      <c r="D41" s="49">
        <f>ROUND(+D$31*D37,-3)</f>
        <v>0</v>
      </c>
      <c r="E41" s="49">
        <f t="shared" si="29"/>
        <v>124000</v>
      </c>
      <c r="F41" s="49">
        <f t="shared" si="29"/>
        <v>538000</v>
      </c>
      <c r="G41" s="49">
        <f t="shared" si="29"/>
        <v>661000</v>
      </c>
      <c r="H41" s="49">
        <f t="shared" si="29"/>
        <v>666000</v>
      </c>
      <c r="I41" s="49">
        <f t="shared" ref="I41" si="33">ROUND(+I$31*I37,-3)</f>
        <v>666000</v>
      </c>
      <c r="J41" s="2"/>
      <c r="K41" s="2"/>
      <c r="L41" s="2"/>
      <c r="N41" s="5">
        <v>1</v>
      </c>
      <c r="P41" s="114">
        <f t="shared" si="31"/>
        <v>0</v>
      </c>
      <c r="Q41" s="114">
        <f t="shared" si="31"/>
        <v>124000</v>
      </c>
      <c r="R41" s="114">
        <f t="shared" si="31"/>
        <v>538000</v>
      </c>
      <c r="S41" s="114">
        <f t="shared" si="31"/>
        <v>661000</v>
      </c>
      <c r="T41" s="114">
        <f t="shared" si="31"/>
        <v>666000</v>
      </c>
      <c r="U41" s="114">
        <f t="shared" si="31"/>
        <v>666000</v>
      </c>
    </row>
    <row r="42" spans="1:21">
      <c r="A42" s="44"/>
      <c r="B42" s="16"/>
      <c r="C42" s="16"/>
      <c r="D42" s="16"/>
      <c r="E42" s="16"/>
      <c r="F42" s="16"/>
      <c r="G42" s="16"/>
      <c r="H42" s="45"/>
      <c r="I42" s="45"/>
    </row>
    <row r="43" spans="1:21">
      <c r="A43" s="46">
        <f>MAX(A$6:A42)+1</f>
        <v>27</v>
      </c>
      <c r="B43" s="31" t="s">
        <v>28</v>
      </c>
      <c r="C43" s="32"/>
      <c r="D43" s="32">
        <f t="shared" ref="D43:I43" si="34">SUM(D39:D42)</f>
        <v>0</v>
      </c>
      <c r="E43" s="32">
        <f t="shared" si="34"/>
        <v>1483000</v>
      </c>
      <c r="F43" s="32">
        <f t="shared" si="34"/>
        <v>6569000</v>
      </c>
      <c r="G43" s="32">
        <f t="shared" si="34"/>
        <v>8276000</v>
      </c>
      <c r="H43" s="32">
        <f t="shared" si="34"/>
        <v>8479000</v>
      </c>
      <c r="I43" s="32">
        <f t="shared" si="34"/>
        <v>8686000</v>
      </c>
      <c r="O43" s="32">
        <f t="shared" ref="O43:T43" si="35">SUM(O39:O42)</f>
        <v>0</v>
      </c>
      <c r="P43" s="32">
        <f t="shared" si="35"/>
        <v>0</v>
      </c>
      <c r="Q43" s="32">
        <f t="shared" si="35"/>
        <v>1483000</v>
      </c>
      <c r="R43" s="32">
        <f t="shared" si="35"/>
        <v>6569000</v>
      </c>
      <c r="S43" s="32">
        <f t="shared" si="35"/>
        <v>8276000</v>
      </c>
      <c r="T43" s="32">
        <f t="shared" si="35"/>
        <v>8479000</v>
      </c>
      <c r="U43" s="32">
        <f t="shared" ref="U43" si="36">SUM(U39:U42)</f>
        <v>8686000</v>
      </c>
    </row>
    <row r="44" spans="1:21">
      <c r="A44" s="44"/>
      <c r="B44" s="16"/>
      <c r="C44" s="16"/>
      <c r="D44" s="16"/>
      <c r="E44" s="16"/>
      <c r="F44" s="16"/>
      <c r="G44" s="16"/>
      <c r="H44" s="45"/>
      <c r="I44" s="45"/>
      <c r="O44" s="16"/>
      <c r="P44" s="16"/>
      <c r="Q44" s="16"/>
      <c r="R44" s="16"/>
      <c r="S44" s="16"/>
      <c r="T44" s="45"/>
      <c r="U44" s="16"/>
    </row>
    <row r="45" spans="1:21">
      <c r="A45" s="46">
        <f>MAX(A$6:A44)+1</f>
        <v>28</v>
      </c>
      <c r="B45" s="31" t="s">
        <v>40</v>
      </c>
      <c r="C45" s="32"/>
      <c r="D45" s="32">
        <f>+D43+D31</f>
        <v>0</v>
      </c>
      <c r="E45" s="32">
        <f>+E43+E31</f>
        <v>3267630.5305879842</v>
      </c>
      <c r="F45" s="32">
        <f>+F43+F31</f>
        <v>14526075.606022496</v>
      </c>
      <c r="G45" s="32">
        <f>+G43+G31</f>
        <v>18339377.13800317</v>
      </c>
      <c r="H45" s="32">
        <f t="shared" ref="H45:I45" si="37">+H43+H31</f>
        <v>18844278.452143267</v>
      </c>
      <c r="I45" s="32">
        <f t="shared" si="37"/>
        <v>19362236.805707566</v>
      </c>
      <c r="O45" s="32">
        <f t="shared" ref="O45:P45" si="38">+O43+O26</f>
        <v>0</v>
      </c>
      <c r="P45" s="32">
        <f t="shared" si="38"/>
        <v>0</v>
      </c>
      <c r="Q45" s="32">
        <f>+Q43+Q26</f>
        <v>3176342.8849046305</v>
      </c>
      <c r="R45" s="32">
        <f t="shared" ref="R45:T45" si="39">+R43+R26</f>
        <v>14116542.547712658</v>
      </c>
      <c r="S45" s="32">
        <f t="shared" si="39"/>
        <v>17814265.697432276</v>
      </c>
      <c r="T45" s="32">
        <f t="shared" si="39"/>
        <v>18303413.668355245</v>
      </c>
      <c r="U45" s="32">
        <f t="shared" ref="U45" si="40">+U43+U26</f>
        <v>18805146.078405902</v>
      </c>
    </row>
    <row r="46" spans="1:21">
      <c r="A46" s="23"/>
      <c r="B46" s="22"/>
      <c r="C46" s="22"/>
      <c r="D46" s="22"/>
      <c r="E46" s="22"/>
      <c r="F46" s="39"/>
      <c r="G46" s="39"/>
      <c r="H46" s="39"/>
      <c r="I46" s="39"/>
    </row>
    <row r="47" spans="1:21">
      <c r="A47" t="s">
        <v>106</v>
      </c>
    </row>
    <row r="52" spans="6:9">
      <c r="F52" s="1"/>
      <c r="G52" s="1"/>
      <c r="H52" s="1"/>
      <c r="I52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C939-3F5C-4260-B175-09AC611CEEFC}">
  <dimension ref="A1:U31"/>
  <sheetViews>
    <sheetView showGridLines="0" workbookViewId="0"/>
  </sheetViews>
  <sheetFormatPr defaultColWidth="8.7109375" defaultRowHeight="15"/>
  <cols>
    <col min="1" max="1" width="10.5703125" customWidth="1"/>
    <col min="2" max="2" width="30.5703125" customWidth="1"/>
    <col min="3" max="9" width="12.5703125" customWidth="1"/>
    <col min="10" max="11" width="12.5703125" hidden="1" customWidth="1"/>
    <col min="12" max="12" width="9.42578125" customWidth="1"/>
    <col min="13" max="13" width="12.5703125" customWidth="1"/>
    <col min="14" max="14" width="16.85546875" customWidth="1"/>
    <col min="15" max="21" width="14.42578125" customWidth="1"/>
  </cols>
  <sheetData>
    <row r="1" spans="1:21" ht="19.5" thickTop="1">
      <c r="A1" s="9" t="s">
        <v>107</v>
      </c>
      <c r="B1" s="9"/>
      <c r="C1" s="9"/>
      <c r="D1" s="9"/>
      <c r="E1" s="9"/>
      <c r="F1" s="9"/>
      <c r="G1" s="9"/>
      <c r="H1" s="9"/>
      <c r="I1" s="118"/>
      <c r="N1" s="9" t="str">
        <f>A1 &amp;" Application of Actual to Budget Factor"</f>
        <v>O&amp;M Adjustment #9 - FY 2024 Additional Energy and Chemical Costs Application of Actual to Budget Factor</v>
      </c>
      <c r="O1" s="9"/>
      <c r="P1" s="9"/>
      <c r="Q1" s="9"/>
      <c r="R1" s="9"/>
      <c r="S1" s="9"/>
      <c r="T1" s="9"/>
      <c r="U1" s="9"/>
    </row>
    <row r="2" spans="1:21" ht="15.75" thickBot="1">
      <c r="B2" s="43"/>
      <c r="N2" t="s">
        <v>4</v>
      </c>
    </row>
    <row r="3" spans="1:21" ht="18" thickTop="1">
      <c r="A3" s="19" t="s">
        <v>1</v>
      </c>
      <c r="B3" s="20" t="s">
        <v>50</v>
      </c>
      <c r="C3" s="20">
        <v>2022</v>
      </c>
      <c r="D3" s="20">
        <f t="shared" ref="D3:I3" si="0">+C3+1</f>
        <v>2023</v>
      </c>
      <c r="E3" s="20">
        <f t="shared" si="0"/>
        <v>2024</v>
      </c>
      <c r="F3" s="20">
        <f t="shared" si="0"/>
        <v>2025</v>
      </c>
      <c r="G3" s="20">
        <f t="shared" si="0"/>
        <v>2026</v>
      </c>
      <c r="H3" s="20">
        <f t="shared" si="0"/>
        <v>2027</v>
      </c>
      <c r="I3" s="20">
        <f t="shared" si="0"/>
        <v>2028</v>
      </c>
      <c r="N3" t="s">
        <v>6</v>
      </c>
      <c r="O3" s="20">
        <v>2022</v>
      </c>
      <c r="P3" s="20">
        <f>+O3+1</f>
        <v>2023</v>
      </c>
      <c r="Q3" s="20">
        <f>+P3+1</f>
        <v>2024</v>
      </c>
      <c r="R3" s="20">
        <f>+Q3+1</f>
        <v>2025</v>
      </c>
      <c r="S3" s="20">
        <f>+R3+1</f>
        <v>2026</v>
      </c>
      <c r="T3" s="20">
        <f>+S3+1</f>
        <v>2027</v>
      </c>
      <c r="U3" s="20">
        <f t="shared" ref="U3" si="1">+T3+1</f>
        <v>2028</v>
      </c>
    </row>
    <row r="4" spans="1:21" ht="15.75">
      <c r="A4" s="100"/>
      <c r="B4" s="101" t="s">
        <v>3</v>
      </c>
      <c r="C4" s="101"/>
      <c r="D4" s="101"/>
      <c r="E4" s="102"/>
      <c r="F4" s="102"/>
      <c r="G4" s="102"/>
      <c r="H4" s="101"/>
      <c r="I4" s="101"/>
    </row>
    <row r="5" spans="1:21" ht="15.75">
      <c r="A5" s="8"/>
      <c r="B5" s="28" t="s">
        <v>5</v>
      </c>
      <c r="C5" s="28"/>
      <c r="D5" s="28"/>
      <c r="E5" s="28"/>
      <c r="F5" s="28"/>
      <c r="G5" s="28"/>
      <c r="H5" s="28"/>
      <c r="I5" s="28"/>
    </row>
    <row r="6" spans="1:21">
      <c r="A6" s="48">
        <v>1</v>
      </c>
      <c r="B6" s="29" t="s">
        <v>108</v>
      </c>
      <c r="C6" s="5"/>
      <c r="D6" s="5">
        <v>0</v>
      </c>
      <c r="E6" s="5">
        <v>0</v>
      </c>
      <c r="F6" s="117">
        <v>0</v>
      </c>
      <c r="G6" s="117">
        <v>1.4999999999999999E-2</v>
      </c>
      <c r="H6" s="117">
        <v>1.4999999999999999E-2</v>
      </c>
      <c r="I6" s="117">
        <v>1.4999999999999999E-2</v>
      </c>
    </row>
    <row r="7" spans="1:21">
      <c r="A7" s="55">
        <f>MAX(A4:A$6)+1</f>
        <v>2</v>
      </c>
      <c r="B7" s="14" t="s">
        <v>109</v>
      </c>
      <c r="C7" s="5"/>
      <c r="D7" s="5">
        <v>0</v>
      </c>
      <c r="E7" s="5">
        <v>0</v>
      </c>
      <c r="F7" s="117">
        <v>0</v>
      </c>
      <c r="G7" s="117">
        <v>1.4999999999999999E-2</v>
      </c>
      <c r="H7" s="117">
        <v>1.4999999999999999E-2</v>
      </c>
      <c r="I7" s="117">
        <v>1.4999999999999999E-2</v>
      </c>
    </row>
    <row r="8" spans="1:21">
      <c r="A8" s="48">
        <f>MAX(A5:A$7)+1</f>
        <v>3</v>
      </c>
      <c r="B8" s="149" t="s">
        <v>110</v>
      </c>
      <c r="C8" s="5"/>
      <c r="D8" s="5">
        <v>0</v>
      </c>
      <c r="E8" s="5">
        <v>0</v>
      </c>
      <c r="F8" s="117">
        <v>0.2382</v>
      </c>
      <c r="G8" s="117">
        <v>0.1143</v>
      </c>
      <c r="H8" s="117">
        <v>0.1143</v>
      </c>
      <c r="I8" s="117">
        <v>0.1143</v>
      </c>
    </row>
    <row r="9" spans="1:21">
      <c r="A9" s="55">
        <f>MAX(A$6:A8)+1</f>
        <v>4</v>
      </c>
      <c r="B9" s="14" t="s">
        <v>111</v>
      </c>
      <c r="C9" s="71"/>
      <c r="D9" s="71">
        <f>+D6</f>
        <v>0</v>
      </c>
      <c r="E9" s="71">
        <f>+(1+D6)*(1+E6)-1</f>
        <v>0</v>
      </c>
      <c r="F9" s="71">
        <f>+(1+D6)*(1+E6)*(1+F6)-1</f>
        <v>0</v>
      </c>
      <c r="G9" s="71">
        <f>+(1+D6)*(1+E6)*(1+F6)*(1+G6)-1</f>
        <v>1.4999999999999902E-2</v>
      </c>
      <c r="H9" s="71">
        <f>+(1+D6)*(1+E6)*(1+F6)*(1+G6)*(1+H6)-1</f>
        <v>3.0224999999999724E-2</v>
      </c>
      <c r="I9" s="71">
        <f>+(1+D6)*(1+E6)*(1+F6)*(1+G6)*(1+H6)*(1+I6)-1</f>
        <v>4.5678374999999605E-2</v>
      </c>
    </row>
    <row r="10" spans="1:21">
      <c r="A10" s="48">
        <f>MAX(A$6:A9)+1</f>
        <v>5</v>
      </c>
      <c r="B10" s="149" t="s">
        <v>112</v>
      </c>
      <c r="C10" s="16"/>
      <c r="D10" s="45">
        <f t="shared" ref="D10:D11" si="2">+D7</f>
        <v>0</v>
      </c>
      <c r="E10" s="45">
        <f t="shared" ref="E10:E11" si="3">+(1+D7)*(1+E7)-1</f>
        <v>0</v>
      </c>
      <c r="F10" s="45">
        <f t="shared" ref="F10:F11" si="4">+(1+D7)*(1+E7)*(1+F7)-1</f>
        <v>0</v>
      </c>
      <c r="G10" s="45">
        <f t="shared" ref="G10:G11" si="5">+(1+D7)*(1+E7)*(1+F7)*(1+G7)-1</f>
        <v>1.4999999999999902E-2</v>
      </c>
      <c r="H10" s="45">
        <f t="shared" ref="H10:H11" si="6">+(1+D7)*(1+E7)*(1+F7)*(1+G7)*(1+H7)-1</f>
        <v>3.0224999999999724E-2</v>
      </c>
      <c r="I10" s="45">
        <f t="shared" ref="I10:I11" si="7">+(1+D7)*(1+E7)*(1+F7)*(1+G7)*(1+H7)*(1+I7)-1</f>
        <v>4.5678374999999605E-2</v>
      </c>
    </row>
    <row r="11" spans="1:21">
      <c r="A11" s="55">
        <f>MAX(A$6:A10)+1</f>
        <v>6</v>
      </c>
      <c r="B11" s="14" t="s">
        <v>113</v>
      </c>
      <c r="C11" s="154"/>
      <c r="D11" s="154">
        <f t="shared" si="2"/>
        <v>0</v>
      </c>
      <c r="E11" s="154">
        <f t="shared" si="3"/>
        <v>0</v>
      </c>
      <c r="F11" s="154">
        <f t="shared" si="4"/>
        <v>0.23819999999999997</v>
      </c>
      <c r="G11" s="154">
        <f t="shared" si="5"/>
        <v>0.37972625999999998</v>
      </c>
      <c r="H11" s="154">
        <f t="shared" si="6"/>
        <v>0.53742897151800006</v>
      </c>
      <c r="I11" s="154">
        <f t="shared" si="7"/>
        <v>0.71315710296250767</v>
      </c>
    </row>
    <row r="12" spans="1:21" ht="15.75">
      <c r="A12" s="8"/>
      <c r="B12" s="28" t="s">
        <v>37</v>
      </c>
      <c r="C12" s="28"/>
      <c r="D12" s="28"/>
      <c r="E12" s="28"/>
      <c r="F12" s="28"/>
      <c r="G12" s="28"/>
      <c r="H12" s="28"/>
      <c r="I12" s="28"/>
    </row>
    <row r="13" spans="1:21">
      <c r="A13" s="44"/>
      <c r="B13" s="16" t="s">
        <v>114</v>
      </c>
      <c r="C13" s="16"/>
      <c r="D13" s="16"/>
      <c r="E13" s="16"/>
      <c r="F13" s="109"/>
      <c r="G13" s="109"/>
      <c r="H13" s="45"/>
      <c r="I13" s="45"/>
    </row>
    <row r="14" spans="1:21">
      <c r="A14" s="46">
        <f>MAX(A$6:A13)+1</f>
        <v>7</v>
      </c>
      <c r="B14" s="60" t="s">
        <v>115</v>
      </c>
      <c r="C14" s="6"/>
      <c r="D14" s="6"/>
      <c r="E14" s="6">
        <v>2336000</v>
      </c>
      <c r="F14" s="123">
        <f>E14</f>
        <v>2336000</v>
      </c>
      <c r="G14" s="123">
        <f t="shared" ref="G14:I16" si="8">F14</f>
        <v>2336000</v>
      </c>
      <c r="H14" s="123">
        <f t="shared" si="8"/>
        <v>2336000</v>
      </c>
      <c r="I14" s="123">
        <f t="shared" si="8"/>
        <v>2336000</v>
      </c>
      <c r="J14" s="1"/>
      <c r="K14" s="1"/>
      <c r="L14" s="1"/>
      <c r="M14" s="1"/>
    </row>
    <row r="15" spans="1:21">
      <c r="A15" s="48">
        <f>MAX(A$6:A14)+1</f>
        <v>8</v>
      </c>
      <c r="B15" s="149" t="s">
        <v>116</v>
      </c>
      <c r="C15" s="6"/>
      <c r="D15" s="6"/>
      <c r="E15" s="6">
        <v>1635200</v>
      </c>
      <c r="F15" s="123">
        <f t="shared" ref="F15:I16" si="9">E15</f>
        <v>1635200</v>
      </c>
      <c r="G15" s="123">
        <f t="shared" si="9"/>
        <v>1635200</v>
      </c>
      <c r="H15" s="123">
        <f t="shared" si="9"/>
        <v>1635200</v>
      </c>
      <c r="I15" s="123">
        <f t="shared" si="9"/>
        <v>1635200</v>
      </c>
      <c r="J15" s="1"/>
      <c r="K15" s="1"/>
      <c r="L15" s="1"/>
      <c r="M15" s="1"/>
    </row>
    <row r="16" spans="1:21">
      <c r="A16" s="46">
        <f>MAX(A$6:A15)+1</f>
        <v>9</v>
      </c>
      <c r="B16" s="155" t="s">
        <v>117</v>
      </c>
      <c r="C16" s="6"/>
      <c r="D16" s="6"/>
      <c r="E16" s="6">
        <v>15752865</v>
      </c>
      <c r="F16" s="123">
        <f t="shared" si="9"/>
        <v>15752865</v>
      </c>
      <c r="G16" s="123">
        <f t="shared" si="8"/>
        <v>15752865</v>
      </c>
      <c r="H16" s="123">
        <f t="shared" si="8"/>
        <v>15752865</v>
      </c>
      <c r="I16" s="123">
        <f t="shared" si="8"/>
        <v>15752865</v>
      </c>
      <c r="J16" s="1"/>
      <c r="K16" s="1"/>
      <c r="L16" s="1"/>
      <c r="M16" s="1"/>
    </row>
    <row r="17" spans="1:21">
      <c r="A17" s="160">
        <f>MAX(A$6:A16)+1</f>
        <v>10</v>
      </c>
      <c r="B17" s="156" t="s">
        <v>23</v>
      </c>
      <c r="C17" s="17">
        <f t="shared" ref="C17:H17" si="10">SUM(C14:C14)</f>
        <v>0</v>
      </c>
      <c r="D17" s="17">
        <f t="shared" si="10"/>
        <v>0</v>
      </c>
      <c r="E17" s="17">
        <f t="shared" si="10"/>
        <v>2336000</v>
      </c>
      <c r="F17" s="17">
        <f t="shared" si="10"/>
        <v>2336000</v>
      </c>
      <c r="G17" s="17">
        <f t="shared" si="10"/>
        <v>2336000</v>
      </c>
      <c r="H17" s="17">
        <f t="shared" si="10"/>
        <v>2336000</v>
      </c>
      <c r="I17" s="17">
        <f t="shared" ref="I17" si="11">SUM(I14:I14)</f>
        <v>2336000</v>
      </c>
    </row>
    <row r="18" spans="1:21">
      <c r="A18" s="46" t="s">
        <v>54</v>
      </c>
      <c r="B18" s="14"/>
      <c r="C18" s="14"/>
      <c r="D18" s="14"/>
      <c r="E18" s="14"/>
      <c r="F18" s="15"/>
      <c r="G18" s="14"/>
      <c r="H18" s="14"/>
      <c r="I18" s="14"/>
    </row>
    <row r="19" spans="1:21">
      <c r="A19" s="48"/>
      <c r="B19" s="149" t="s">
        <v>55</v>
      </c>
      <c r="C19" s="157"/>
      <c r="D19" s="157"/>
      <c r="E19" s="157"/>
      <c r="F19" s="157"/>
      <c r="G19" s="157"/>
      <c r="H19" s="157"/>
      <c r="I19" s="157"/>
    </row>
    <row r="20" spans="1:21">
      <c r="A20" s="46">
        <f>MAX(A$6:A19)+1</f>
        <v>11</v>
      </c>
      <c r="B20" s="155" t="s">
        <v>115</v>
      </c>
      <c r="C20" s="14"/>
      <c r="D20" s="11">
        <f>+D14*(1+D$9)</f>
        <v>0</v>
      </c>
      <c r="E20" s="11">
        <f t="shared" ref="E20:I20" si="12">+E14*(1+E$9)</f>
        <v>2336000</v>
      </c>
      <c r="F20" s="11">
        <f t="shared" si="12"/>
        <v>2336000</v>
      </c>
      <c r="G20" s="11">
        <f t="shared" si="12"/>
        <v>2371040</v>
      </c>
      <c r="H20" s="11">
        <f t="shared" si="12"/>
        <v>2406605.5999999992</v>
      </c>
      <c r="I20" s="11">
        <f t="shared" si="12"/>
        <v>2442704.683999999</v>
      </c>
    </row>
    <row r="21" spans="1:21">
      <c r="A21" s="44">
        <f>MAX(A$6:A20)+1</f>
        <v>12</v>
      </c>
      <c r="B21" s="16" t="s">
        <v>116</v>
      </c>
      <c r="C21" s="157"/>
      <c r="D21" s="158">
        <f>+D15*(1+D$10)</f>
        <v>0</v>
      </c>
      <c r="E21" s="158">
        <f t="shared" ref="E21:I21" si="13">+E15*(1+E$10)</f>
        <v>1635200</v>
      </c>
      <c r="F21" s="158">
        <f t="shared" si="13"/>
        <v>1635200</v>
      </c>
      <c r="G21" s="158">
        <f t="shared" si="13"/>
        <v>1659727.9999999998</v>
      </c>
      <c r="H21" s="158">
        <f t="shared" si="13"/>
        <v>1684623.9199999995</v>
      </c>
      <c r="I21" s="158">
        <f t="shared" si="13"/>
        <v>1709893.2787999993</v>
      </c>
      <c r="M21" s="155" t="s">
        <v>115</v>
      </c>
      <c r="N21" s="5">
        <v>0.82768680044916143</v>
      </c>
      <c r="P21" s="114">
        <f t="shared" ref="P21:U23" si="14">+D20*$N21</f>
        <v>0</v>
      </c>
      <c r="Q21" s="114">
        <f t="shared" si="14"/>
        <v>1933476.3658492411</v>
      </c>
      <c r="R21" s="114">
        <f t="shared" si="14"/>
        <v>1933476.3658492411</v>
      </c>
      <c r="S21" s="114">
        <f t="shared" si="14"/>
        <v>1962478.5113369797</v>
      </c>
      <c r="T21" s="114">
        <f t="shared" si="14"/>
        <v>1991915.6890070338</v>
      </c>
      <c r="U21" s="114">
        <f t="shared" si="14"/>
        <v>2021794.4243421392</v>
      </c>
    </row>
    <row r="22" spans="1:21">
      <c r="A22" s="46">
        <v>12</v>
      </c>
      <c r="B22" s="14" t="s">
        <v>117</v>
      </c>
      <c r="C22" s="14"/>
      <c r="D22" s="11">
        <f>+D16*(1+D$11)</f>
        <v>0</v>
      </c>
      <c r="E22" s="11">
        <f t="shared" ref="E22:I22" si="15">+E16*(1+E$11)</f>
        <v>15752865</v>
      </c>
      <c r="F22" s="11">
        <f t="shared" si="15"/>
        <v>19505197.443</v>
      </c>
      <c r="G22" s="11">
        <f t="shared" si="15"/>
        <v>21734641.510734901</v>
      </c>
      <c r="H22" s="11">
        <f t="shared" si="15"/>
        <v>24218911.035411902</v>
      </c>
      <c r="I22" s="11">
        <f t="shared" si="15"/>
        <v>26987132.566759482</v>
      </c>
      <c r="M22" s="16" t="s">
        <v>116</v>
      </c>
      <c r="N22" s="5">
        <v>0.80489578121296712</v>
      </c>
      <c r="P22" s="114">
        <f t="shared" si="14"/>
        <v>0</v>
      </c>
      <c r="Q22" s="114">
        <f t="shared" si="14"/>
        <v>1316165.5814394439</v>
      </c>
      <c r="R22" s="114">
        <f t="shared" si="14"/>
        <v>1316165.5814394439</v>
      </c>
      <c r="S22" s="114">
        <f t="shared" si="14"/>
        <v>1335908.0651610354</v>
      </c>
      <c r="T22" s="114">
        <f t="shared" si="14"/>
        <v>1355946.6861384506</v>
      </c>
      <c r="U22" s="114">
        <f t="shared" si="14"/>
        <v>1376285.8864305273</v>
      </c>
    </row>
    <row r="23" spans="1:21">
      <c r="A23" s="159">
        <f>MAX(A$6:A22)+1</f>
        <v>13</v>
      </c>
      <c r="B23" s="31" t="s">
        <v>39</v>
      </c>
      <c r="C23" s="32">
        <f>SUM(C20:C22)</f>
        <v>0</v>
      </c>
      <c r="D23" s="32">
        <f>SUM(D20:D22)</f>
        <v>0</v>
      </c>
      <c r="E23" s="32">
        <f t="shared" ref="E23:I23" si="16">SUM(E20:E22)</f>
        <v>19724065</v>
      </c>
      <c r="F23" s="32">
        <f t="shared" si="16"/>
        <v>23476397.443</v>
      </c>
      <c r="G23" s="32">
        <f t="shared" si="16"/>
        <v>25765409.510734901</v>
      </c>
      <c r="H23" s="32">
        <f t="shared" si="16"/>
        <v>28310140.555411901</v>
      </c>
      <c r="I23" s="32">
        <f t="shared" si="16"/>
        <v>31139730.529559478</v>
      </c>
      <c r="M23" s="14" t="s">
        <v>117</v>
      </c>
      <c r="N23" s="5">
        <v>1</v>
      </c>
      <c r="P23" s="114">
        <f t="shared" si="14"/>
        <v>0</v>
      </c>
      <c r="Q23" s="114">
        <f t="shared" si="14"/>
        <v>15752865</v>
      </c>
      <c r="R23" s="114">
        <f t="shared" si="14"/>
        <v>19505197.443</v>
      </c>
      <c r="S23" s="114">
        <f t="shared" si="14"/>
        <v>21734641.510734901</v>
      </c>
      <c r="T23" s="114">
        <f t="shared" si="14"/>
        <v>24218911.035411902</v>
      </c>
      <c r="U23" s="114">
        <f t="shared" si="14"/>
        <v>26987132.566759482</v>
      </c>
    </row>
    <row r="24" spans="1:21" ht="15.75">
      <c r="A24" s="8"/>
      <c r="B24" s="28" t="s">
        <v>118</v>
      </c>
      <c r="C24" s="28"/>
      <c r="D24" s="28"/>
      <c r="E24" s="28"/>
      <c r="F24" s="28"/>
      <c r="G24" s="28"/>
      <c r="H24" s="28"/>
      <c r="I24" s="28"/>
    </row>
    <row r="25" spans="1:21">
      <c r="A25" s="44"/>
      <c r="B25" s="16" t="s">
        <v>62</v>
      </c>
      <c r="C25" s="16"/>
      <c r="D25" s="16"/>
      <c r="E25" s="16"/>
      <c r="F25" s="109"/>
      <c r="G25" s="109"/>
      <c r="H25" s="45"/>
      <c r="I25" s="45"/>
    </row>
    <row r="26" spans="1:21">
      <c r="A26" s="46">
        <f>MAX(A$6:A25)+1</f>
        <v>14</v>
      </c>
      <c r="B26" s="60" t="s">
        <v>96</v>
      </c>
      <c r="C26" s="6">
        <v>0</v>
      </c>
      <c r="D26" s="123">
        <f>50200*0</f>
        <v>0</v>
      </c>
      <c r="E26" s="123">
        <f t="shared" ref="E26:I26" si="17">50200*0</f>
        <v>0</v>
      </c>
      <c r="F26" s="123">
        <f t="shared" si="17"/>
        <v>0</v>
      </c>
      <c r="G26" s="123">
        <f t="shared" si="17"/>
        <v>0</v>
      </c>
      <c r="H26" s="123">
        <f t="shared" si="17"/>
        <v>0</v>
      </c>
      <c r="I26" s="123">
        <f t="shared" si="17"/>
        <v>0</v>
      </c>
      <c r="J26" s="1"/>
      <c r="P26" s="114"/>
      <c r="Q26" s="114"/>
      <c r="R26" s="114"/>
      <c r="S26" s="114"/>
      <c r="T26" s="114"/>
      <c r="U26" s="114"/>
    </row>
    <row r="27" spans="1:21">
      <c r="A27" s="44"/>
      <c r="B27" s="16"/>
      <c r="C27" s="16"/>
      <c r="D27" s="16"/>
      <c r="E27" s="16"/>
      <c r="F27" s="16"/>
      <c r="G27" s="16"/>
      <c r="H27" s="45"/>
      <c r="I27" s="45"/>
    </row>
    <row r="28" spans="1:21">
      <c r="A28" s="42">
        <f>MAX(A$6:A27)+1</f>
        <v>15</v>
      </c>
      <c r="B28" s="31" t="s">
        <v>55</v>
      </c>
      <c r="C28" s="32">
        <f t="shared" ref="C28:E28" si="18">+C26*(1+C$9)</f>
        <v>0</v>
      </c>
      <c r="D28" s="32">
        <f>+D26*(1+D$9)</f>
        <v>0</v>
      </c>
      <c r="E28" s="32">
        <f t="shared" si="18"/>
        <v>0</v>
      </c>
      <c r="F28" s="32">
        <f t="shared" ref="F28:I28" si="19">+F26*(1+F$9)</f>
        <v>0</v>
      </c>
      <c r="G28" s="32">
        <f t="shared" si="19"/>
        <v>0</v>
      </c>
      <c r="H28" s="32">
        <f t="shared" si="19"/>
        <v>0</v>
      </c>
      <c r="I28" s="32">
        <f t="shared" si="19"/>
        <v>0</v>
      </c>
      <c r="N28" s="5">
        <v>1</v>
      </c>
      <c r="P28" s="114">
        <f t="shared" ref="P28:U28" si="20">+D28*$N28</f>
        <v>0</v>
      </c>
      <c r="Q28" s="114">
        <f t="shared" si="20"/>
        <v>0</v>
      </c>
      <c r="R28" s="114">
        <f t="shared" si="20"/>
        <v>0</v>
      </c>
      <c r="S28" s="114">
        <f t="shared" si="20"/>
        <v>0</v>
      </c>
      <c r="T28" s="114">
        <f t="shared" si="20"/>
        <v>0</v>
      </c>
      <c r="U28" s="114">
        <f t="shared" si="20"/>
        <v>0</v>
      </c>
    </row>
    <row r="29" spans="1:21">
      <c r="A29" s="44"/>
      <c r="B29" s="16"/>
      <c r="C29" s="16"/>
      <c r="D29" s="16"/>
      <c r="E29" s="16"/>
      <c r="F29" s="16"/>
      <c r="G29" s="16"/>
      <c r="H29" s="45"/>
      <c r="I29" s="45"/>
    </row>
    <row r="30" spans="1:21">
      <c r="A30" s="42">
        <f>MAX(A$6:A29)+1</f>
        <v>16</v>
      </c>
      <c r="B30" s="26" t="s">
        <v>11</v>
      </c>
      <c r="C30" s="32">
        <f t="shared" ref="C30:H30" si="21">+C28+C23</f>
        <v>0</v>
      </c>
      <c r="D30" s="32">
        <f t="shared" si="21"/>
        <v>0</v>
      </c>
      <c r="E30" s="32">
        <f t="shared" si="21"/>
        <v>19724065</v>
      </c>
      <c r="F30" s="32">
        <f t="shared" si="21"/>
        <v>23476397.443</v>
      </c>
      <c r="G30" s="32">
        <f t="shared" si="21"/>
        <v>25765409.510734901</v>
      </c>
      <c r="H30" s="32">
        <f t="shared" si="21"/>
        <v>28310140.555411901</v>
      </c>
      <c r="I30" s="32">
        <f t="shared" ref="I30" si="22">+I28+I23</f>
        <v>31139730.529559478</v>
      </c>
      <c r="O30" s="32">
        <f>+O21+O22+O28+O23</f>
        <v>0</v>
      </c>
      <c r="P30" s="32">
        <f t="shared" ref="P30:U30" si="23">+P21+P22+P28+P23</f>
        <v>0</v>
      </c>
      <c r="Q30" s="32">
        <f>+Q21+Q22+Q28+Q23</f>
        <v>19002506.947288685</v>
      </c>
      <c r="R30" s="32">
        <f t="shared" si="23"/>
        <v>22754839.390288685</v>
      </c>
      <c r="S30" s="32">
        <f t="shared" si="23"/>
        <v>25033028.087232918</v>
      </c>
      <c r="T30" s="32">
        <f t="shared" si="23"/>
        <v>27566773.410557386</v>
      </c>
      <c r="U30" s="32">
        <f t="shared" si="23"/>
        <v>30385212.877532147</v>
      </c>
    </row>
    <row r="31" spans="1:21">
      <c r="A31" s="44"/>
      <c r="B31" s="16"/>
      <c r="C31" s="16"/>
      <c r="D31" s="16"/>
      <c r="E31" s="16"/>
      <c r="F31" s="16"/>
      <c r="G31" s="16"/>
      <c r="H31" s="45"/>
      <c r="I31" s="45"/>
    </row>
  </sheetData>
  <phoneticPr fontId="1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C14E7-29D7-4F8F-8C3C-B97428283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8ED1C-DADD-419A-BF60-33C4669536F6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4BCDF79-E84D-4292-A987-71617B65E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OM Adj 1</vt:lpstr>
      <vt:lpstr>OM Adj 2</vt:lpstr>
      <vt:lpstr>OM Adj 3</vt:lpstr>
      <vt:lpstr>OM Adj 4</vt:lpstr>
      <vt:lpstr>OM Adj 5</vt:lpstr>
      <vt:lpstr>OM Adj 6</vt:lpstr>
      <vt:lpstr>OM Adj 7</vt:lpstr>
      <vt:lpstr>OM Adj 8</vt:lpstr>
      <vt:lpstr>OM Adj 9</vt:lpstr>
      <vt:lpstr>OM Adj 10</vt:lpstr>
      <vt:lpstr>OM Adj 11</vt:lpstr>
      <vt:lpstr>Pension &amp; Fringes Ratio</vt:lpstr>
      <vt:lpstr>TOTAL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 &amp; Veatch</dc:creator>
  <cp:keywords/>
  <dc:description/>
  <cp:lastModifiedBy>Merritt, Brian L.</cp:lastModifiedBy>
  <cp:revision/>
  <dcterms:created xsi:type="dcterms:W3CDTF">2015-07-09T16:05:02Z</dcterms:created>
  <dcterms:modified xsi:type="dcterms:W3CDTF">2023-03-06T22:20:50Z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  <property fmtid="{D5CDD505-2E9C-101B-9397-08002B2CF9AE}" pid="3" name="Order">
    <vt:r8>128000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