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cd.projectcentral.bv.com/sites/405119.1/Shared Documents/FY 2023 Rate Filings/Internal/Discovery/PA-TAP-I/PA-TAP-I Attachments/"/>
    </mc:Choice>
  </mc:AlternateContent>
  <xr:revisionPtr revIDLastSave="0" documentId="13_ncr:1_{6F44036F-2B83-498B-A408-E7A5C51949E6}" xr6:coauthVersionLast="46" xr6:coauthVersionMax="46" xr10:uidLastSave="{00000000-0000-0000-0000-000000000000}"/>
  <bookViews>
    <workbookView xWindow="28680" yWindow="-120" windowWidth="29040" windowHeight="15840" tabRatio="667" xr2:uid="{00000000-000D-0000-FFFF-FFFF00000000}"/>
  </bookViews>
  <sheets>
    <sheet name="TOC" sheetId="26" r:id="rId1"/>
    <sheet name="Wastewater Charges" sheetId="1" r:id="rId2"/>
    <sheet name="Water Charges" sheetId="2" r:id="rId3"/>
    <sheet name="Typical Res Bills TOTAL" sheetId="3" r:id="rId4"/>
    <sheet name="Typ Non Res Bill TOTAL PARCEL" sheetId="10" r:id="rId5"/>
    <sheet name="Typical Bills WATER" sheetId="5" r:id="rId6"/>
    <sheet name="Typical Bills SANITARY" sheetId="4" r:id="rId7"/>
    <sheet name="Typical Res Bills SW" sheetId="7" r:id="rId8"/>
    <sheet name="Typical Non-Res Bills SW" sheetId="11" r:id="rId9"/>
    <sheet name="Inputs" sheetId="15" r:id="rId10"/>
  </sheets>
  <externalReferences>
    <externalReference r:id="rId11"/>
  </externalReferences>
  <definedNames>
    <definedName name="Client">[1]TOC!$C$2</definedName>
    <definedName name="_xlnm.Print_Area" localSheetId="4">'Typ Non Res Bill TOTAL PARCEL'!$B$2:$H$68</definedName>
    <definedName name="_xlnm.Print_Area" localSheetId="8">'Typical Non-Res Bills SW'!$B$1:$H$59</definedName>
    <definedName name="_xlnm.Print_Area" localSheetId="3">'Typical Res Bills TOTAL'!$B$2:$F$45</definedName>
    <definedName name="_xlnm.Print_Area" localSheetId="1">'Wastewater Charges'!$B$1:$Y$58</definedName>
    <definedName name="_xlnm.Print_Area" localSheetId="2">'Water Charges'!$B$2:$L$45</definedName>
    <definedName name="Title">[1]TOC!$C$4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3" l="1"/>
  <c r="E20" i="3"/>
  <c r="E18" i="3"/>
  <c r="B64" i="10"/>
  <c r="B63" i="10"/>
  <c r="B62" i="10"/>
  <c r="B61" i="10"/>
  <c r="B60" i="10"/>
  <c r="B35" i="3"/>
  <c r="B33" i="3"/>
  <c r="B30" i="3"/>
  <c r="B31" i="3"/>
  <c r="B32" i="3"/>
  <c r="B29" i="3"/>
  <c r="E9" i="4" l="1"/>
  <c r="B50" i="2"/>
  <c r="B49" i="2"/>
  <c r="J29" i="2"/>
  <c r="I29" i="2"/>
  <c r="F38" i="1"/>
  <c r="E38" i="1"/>
  <c r="F49" i="2"/>
  <c r="R38" i="5"/>
  <c r="D38" i="5"/>
  <c r="F50" i="2"/>
  <c r="G9" i="11"/>
  <c r="B14" i="11"/>
  <c r="C14" i="11"/>
  <c r="D14" i="11"/>
  <c r="G14" i="11"/>
  <c r="B15" i="11"/>
  <c r="C15" i="11"/>
  <c r="D15" i="11"/>
  <c r="G15" i="11"/>
  <c r="B16" i="11"/>
  <c r="C16" i="11"/>
  <c r="D16" i="11"/>
  <c r="G16" i="11"/>
  <c r="F16" i="11"/>
  <c r="B17" i="11"/>
  <c r="C17" i="11"/>
  <c r="D17" i="11"/>
  <c r="D18" i="10"/>
  <c r="B18" i="11"/>
  <c r="C18" i="11"/>
  <c r="D18" i="11"/>
  <c r="G18" i="11"/>
  <c r="H18" i="11"/>
  <c r="B19" i="11"/>
  <c r="C19" i="11"/>
  <c r="F19" i="11"/>
  <c r="G19" i="11"/>
  <c r="H19" i="11"/>
  <c r="B20" i="11"/>
  <c r="C20" i="11"/>
  <c r="F20" i="11"/>
  <c r="G20" i="11"/>
  <c r="B21" i="11"/>
  <c r="C21" i="11"/>
  <c r="F21" i="11"/>
  <c r="G21" i="11"/>
  <c r="B22" i="11"/>
  <c r="C22" i="11"/>
  <c r="F22" i="11"/>
  <c r="G22" i="11"/>
  <c r="H22" i="11"/>
  <c r="B23" i="11"/>
  <c r="C23" i="11"/>
  <c r="F23" i="11"/>
  <c r="G23" i="11"/>
  <c r="H23" i="11"/>
  <c r="B24" i="11"/>
  <c r="C24" i="11"/>
  <c r="F24" i="11"/>
  <c r="G24" i="11"/>
  <c r="H24" i="11"/>
  <c r="B25" i="11"/>
  <c r="C25" i="11"/>
  <c r="F25" i="11"/>
  <c r="G25" i="11"/>
  <c r="H25" i="11"/>
  <c r="B27" i="11"/>
  <c r="C27" i="11"/>
  <c r="F27" i="11"/>
  <c r="G27" i="11"/>
  <c r="H27" i="11"/>
  <c r="B28" i="11"/>
  <c r="C28" i="11"/>
  <c r="F28" i="11"/>
  <c r="G28" i="11"/>
  <c r="H28" i="11"/>
  <c r="B29" i="11"/>
  <c r="C29" i="11"/>
  <c r="F29" i="11"/>
  <c r="G29" i="11"/>
  <c r="H29" i="11"/>
  <c r="B30" i="11"/>
  <c r="C30" i="11"/>
  <c r="F30" i="11"/>
  <c r="G30" i="11"/>
  <c r="H30" i="11"/>
  <c r="B32" i="11"/>
  <c r="C32" i="11"/>
  <c r="D32" i="11"/>
  <c r="B33" i="11"/>
  <c r="C33" i="11"/>
  <c r="F33" i="11"/>
  <c r="G33" i="11"/>
  <c r="H33" i="11"/>
  <c r="B34" i="11"/>
  <c r="C34" i="11"/>
  <c r="F34" i="11"/>
  <c r="G34" i="11"/>
  <c r="B35" i="11"/>
  <c r="C35" i="11"/>
  <c r="F35" i="11"/>
  <c r="G35" i="11"/>
  <c r="H35" i="11"/>
  <c r="B37" i="11"/>
  <c r="C37" i="11"/>
  <c r="F37" i="11"/>
  <c r="G37" i="11"/>
  <c r="B38" i="11"/>
  <c r="C38" i="11"/>
  <c r="F38" i="11"/>
  <c r="G38" i="11"/>
  <c r="H38" i="11"/>
  <c r="B39" i="11"/>
  <c r="C39" i="11"/>
  <c r="F39" i="11"/>
  <c r="G39" i="11"/>
  <c r="B40" i="11"/>
  <c r="C40" i="11"/>
  <c r="F40" i="11"/>
  <c r="G40" i="11"/>
  <c r="H40" i="11"/>
  <c r="B42" i="11"/>
  <c r="C42" i="11"/>
  <c r="F42" i="11"/>
  <c r="G42" i="11"/>
  <c r="B43" i="11"/>
  <c r="C43" i="11"/>
  <c r="F43" i="11"/>
  <c r="G43" i="11"/>
  <c r="H43" i="11"/>
  <c r="B44" i="11"/>
  <c r="C44" i="11"/>
  <c r="F44" i="11"/>
  <c r="G44" i="11"/>
  <c r="B45" i="11"/>
  <c r="C45" i="11"/>
  <c r="F45" i="11"/>
  <c r="G45" i="11"/>
  <c r="H45" i="11"/>
  <c r="B47" i="11"/>
  <c r="C47" i="11"/>
  <c r="F47" i="11"/>
  <c r="G47" i="11"/>
  <c r="B48" i="11"/>
  <c r="C48" i="11"/>
  <c r="F48" i="11"/>
  <c r="G48" i="11"/>
  <c r="B49" i="11"/>
  <c r="C49" i="11"/>
  <c r="F49" i="11"/>
  <c r="G49" i="11"/>
  <c r="B50" i="11"/>
  <c r="C50" i="11"/>
  <c r="F50" i="11"/>
  <c r="G50" i="11"/>
  <c r="H50" i="11"/>
  <c r="B52" i="11"/>
  <c r="C52" i="11"/>
  <c r="F52" i="11"/>
  <c r="G52" i="11"/>
  <c r="B53" i="11"/>
  <c r="C53" i="11"/>
  <c r="F53" i="11"/>
  <c r="G53" i="11"/>
  <c r="H53" i="11"/>
  <c r="B54" i="11"/>
  <c r="C54" i="11"/>
  <c r="F54" i="11"/>
  <c r="G54" i="11"/>
  <c r="B55" i="11"/>
  <c r="C55" i="11"/>
  <c r="F55" i="11"/>
  <c r="G55" i="11"/>
  <c r="D9" i="7"/>
  <c r="E9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F21" i="7"/>
  <c r="B22" i="7"/>
  <c r="C22" i="7"/>
  <c r="D22" i="7"/>
  <c r="E22" i="7"/>
  <c r="B23" i="7"/>
  <c r="C23" i="7"/>
  <c r="D23" i="7"/>
  <c r="E23" i="7"/>
  <c r="F23" i="7"/>
  <c r="B24" i="7"/>
  <c r="C24" i="7"/>
  <c r="D24" i="7"/>
  <c r="E24" i="7"/>
  <c r="D9" i="4"/>
  <c r="O11" i="4"/>
  <c r="P11" i="4"/>
  <c r="R11" i="4"/>
  <c r="S11" i="4"/>
  <c r="B14" i="4"/>
  <c r="P14" i="4"/>
  <c r="C14" i="4"/>
  <c r="B15" i="4"/>
  <c r="P15" i="4"/>
  <c r="C15" i="4"/>
  <c r="R15" i="4"/>
  <c r="D15" i="4"/>
  <c r="B16" i="4"/>
  <c r="O16" i="4"/>
  <c r="C16" i="4"/>
  <c r="R16" i="4"/>
  <c r="B17" i="4"/>
  <c r="C17" i="4"/>
  <c r="B18" i="4"/>
  <c r="O18" i="4"/>
  <c r="D18" i="4"/>
  <c r="C18" i="4"/>
  <c r="R18" i="4"/>
  <c r="B19" i="4"/>
  <c r="P19" i="4"/>
  <c r="C19" i="4"/>
  <c r="S19" i="4"/>
  <c r="B20" i="4"/>
  <c r="P20" i="4"/>
  <c r="C20" i="4"/>
  <c r="R20" i="4"/>
  <c r="D20" i="4"/>
  <c r="B21" i="4"/>
  <c r="O21" i="4"/>
  <c r="D21" i="4"/>
  <c r="C21" i="4"/>
  <c r="S21" i="4"/>
  <c r="B22" i="4"/>
  <c r="O22" i="4"/>
  <c r="C22" i="4"/>
  <c r="R22" i="4"/>
  <c r="B23" i="4"/>
  <c r="P23" i="4"/>
  <c r="C23" i="4"/>
  <c r="R23" i="4"/>
  <c r="B24" i="4"/>
  <c r="P24" i="4"/>
  <c r="C24" i="4"/>
  <c r="R24" i="4"/>
  <c r="B25" i="4"/>
  <c r="O25" i="4"/>
  <c r="C25" i="4"/>
  <c r="R25" i="4"/>
  <c r="D25" i="4"/>
  <c r="B27" i="4"/>
  <c r="P27" i="4"/>
  <c r="C27" i="4"/>
  <c r="B28" i="4"/>
  <c r="P28" i="4"/>
  <c r="C28" i="4"/>
  <c r="R28" i="4"/>
  <c r="D28" i="4"/>
  <c r="B29" i="4"/>
  <c r="O29" i="4"/>
  <c r="C29" i="4"/>
  <c r="R29" i="4"/>
  <c r="D29" i="4"/>
  <c r="B30" i="4"/>
  <c r="O30" i="4"/>
  <c r="D30" i="4"/>
  <c r="C30" i="4"/>
  <c r="R30" i="4"/>
  <c r="B32" i="4"/>
  <c r="P32" i="4"/>
  <c r="C32" i="4"/>
  <c r="S32" i="4"/>
  <c r="E32" i="4" s="1"/>
  <c r="F32" i="4" s="1"/>
  <c r="B33" i="4"/>
  <c r="O33" i="4"/>
  <c r="D33" i="4"/>
  <c r="C33" i="4"/>
  <c r="R33" i="4"/>
  <c r="B34" i="4"/>
  <c r="O34" i="4"/>
  <c r="C34" i="4"/>
  <c r="R34" i="4"/>
  <c r="B35" i="4"/>
  <c r="O35" i="4"/>
  <c r="D35" i="4"/>
  <c r="C35" i="4"/>
  <c r="S35" i="4"/>
  <c r="B37" i="4"/>
  <c r="C37" i="4"/>
  <c r="S37" i="4"/>
  <c r="B38" i="4"/>
  <c r="C38" i="4"/>
  <c r="R38" i="4"/>
  <c r="D38" i="4"/>
  <c r="B39" i="4"/>
  <c r="O39" i="4"/>
  <c r="C39" i="4"/>
  <c r="S39" i="4"/>
  <c r="B40" i="4"/>
  <c r="C40" i="4"/>
  <c r="R40" i="4"/>
  <c r="D40" i="4"/>
  <c r="B42" i="4"/>
  <c r="O42" i="4"/>
  <c r="D42" i="4"/>
  <c r="C42" i="4"/>
  <c r="R42" i="4"/>
  <c r="B43" i="4"/>
  <c r="O43" i="4"/>
  <c r="D43" i="4"/>
  <c r="C43" i="4"/>
  <c r="R43" i="4"/>
  <c r="B44" i="4"/>
  <c r="O44" i="4"/>
  <c r="C44" i="4"/>
  <c r="R44" i="4"/>
  <c r="D44" i="4"/>
  <c r="B45" i="4"/>
  <c r="O45" i="4"/>
  <c r="C45" i="4"/>
  <c r="R45" i="4"/>
  <c r="B47" i="4"/>
  <c r="C47" i="4"/>
  <c r="R47" i="4"/>
  <c r="B48" i="4"/>
  <c r="C48" i="4"/>
  <c r="R48" i="4"/>
  <c r="D48" i="4"/>
  <c r="B49" i="4"/>
  <c r="O49" i="4"/>
  <c r="C49" i="4"/>
  <c r="R49" i="4"/>
  <c r="B50" i="4"/>
  <c r="C50" i="4"/>
  <c r="R50" i="4"/>
  <c r="B52" i="4"/>
  <c r="O52" i="4"/>
  <c r="C52" i="4"/>
  <c r="R52" i="4"/>
  <c r="B53" i="4"/>
  <c r="C53" i="4"/>
  <c r="R53" i="4"/>
  <c r="B54" i="4"/>
  <c r="O54" i="4"/>
  <c r="D54" i="4"/>
  <c r="C54" i="4"/>
  <c r="S54" i="4"/>
  <c r="E54" i="4" s="1"/>
  <c r="B55" i="4"/>
  <c r="P55" i="4"/>
  <c r="C55" i="4"/>
  <c r="R55" i="4"/>
  <c r="D55" i="4"/>
  <c r="D9" i="5"/>
  <c r="E9" i="5"/>
  <c r="O11" i="5"/>
  <c r="P11" i="5"/>
  <c r="R11" i="5"/>
  <c r="S11" i="5"/>
  <c r="J14" i="5"/>
  <c r="O14" i="5"/>
  <c r="P14" i="5"/>
  <c r="J15" i="5"/>
  <c r="K15" i="5"/>
  <c r="O15" i="5"/>
  <c r="P15" i="5"/>
  <c r="J16" i="5"/>
  <c r="K16" i="5"/>
  <c r="L16" i="5"/>
  <c r="O16" i="5"/>
  <c r="P16" i="5"/>
  <c r="J17" i="5"/>
  <c r="O17" i="5"/>
  <c r="P17" i="5"/>
  <c r="J18" i="5"/>
  <c r="O18" i="5"/>
  <c r="P18" i="5"/>
  <c r="J19" i="5"/>
  <c r="O19" i="5"/>
  <c r="P19" i="5"/>
  <c r="J20" i="5"/>
  <c r="K20" i="5"/>
  <c r="O20" i="5"/>
  <c r="P20" i="5"/>
  <c r="J21" i="5"/>
  <c r="O21" i="5"/>
  <c r="P21" i="5"/>
  <c r="J22" i="5"/>
  <c r="K22" i="5"/>
  <c r="O22" i="5"/>
  <c r="P22" i="5"/>
  <c r="J23" i="5"/>
  <c r="K23" i="5"/>
  <c r="O23" i="5"/>
  <c r="P23" i="5"/>
  <c r="J24" i="5"/>
  <c r="K24" i="5"/>
  <c r="O24" i="5"/>
  <c r="P24" i="5"/>
  <c r="J25" i="5"/>
  <c r="O25" i="5"/>
  <c r="P25" i="5"/>
  <c r="J27" i="5"/>
  <c r="K27" i="5"/>
  <c r="O27" i="5"/>
  <c r="P27" i="5"/>
  <c r="J28" i="5"/>
  <c r="O28" i="5"/>
  <c r="P28" i="5"/>
  <c r="J29" i="5"/>
  <c r="O29" i="5"/>
  <c r="D29" i="5"/>
  <c r="P29" i="5"/>
  <c r="J30" i="5"/>
  <c r="K30" i="5"/>
  <c r="O30" i="5"/>
  <c r="P30" i="5"/>
  <c r="J32" i="5"/>
  <c r="K32" i="5"/>
  <c r="O32" i="5"/>
  <c r="D32" i="5"/>
  <c r="P32" i="5"/>
  <c r="J33" i="5"/>
  <c r="K33" i="5"/>
  <c r="O33" i="5"/>
  <c r="P33" i="5"/>
  <c r="J34" i="5"/>
  <c r="K34" i="5"/>
  <c r="O34" i="5"/>
  <c r="P34" i="5"/>
  <c r="J35" i="5"/>
  <c r="K35" i="5"/>
  <c r="O35" i="5"/>
  <c r="P35" i="5"/>
  <c r="J37" i="5"/>
  <c r="O37" i="5"/>
  <c r="P37" i="5"/>
  <c r="J38" i="5"/>
  <c r="K38" i="5"/>
  <c r="L38" i="5"/>
  <c r="O38" i="5"/>
  <c r="P38" i="5"/>
  <c r="J39" i="5"/>
  <c r="K39" i="5"/>
  <c r="O39" i="5"/>
  <c r="P39" i="5"/>
  <c r="J40" i="5"/>
  <c r="O40" i="5"/>
  <c r="P40" i="5"/>
  <c r="J42" i="5"/>
  <c r="K42" i="5"/>
  <c r="L42" i="5"/>
  <c r="O42" i="5"/>
  <c r="P42" i="5"/>
  <c r="J43" i="5"/>
  <c r="K43" i="5"/>
  <c r="O43" i="5"/>
  <c r="P43" i="5"/>
  <c r="J44" i="5"/>
  <c r="K44" i="5"/>
  <c r="O44" i="5"/>
  <c r="D44" i="5"/>
  <c r="P44" i="5"/>
  <c r="J45" i="5"/>
  <c r="K45" i="5"/>
  <c r="L45" i="5"/>
  <c r="M45" i="5"/>
  <c r="O45" i="5"/>
  <c r="P45" i="5"/>
  <c r="J47" i="5"/>
  <c r="O47" i="5"/>
  <c r="P47" i="5"/>
  <c r="J48" i="5"/>
  <c r="O48" i="5"/>
  <c r="P48" i="5"/>
  <c r="J49" i="5"/>
  <c r="O49" i="5"/>
  <c r="P49" i="5"/>
  <c r="J50" i="5"/>
  <c r="O50" i="5"/>
  <c r="P50" i="5"/>
  <c r="J52" i="5"/>
  <c r="O52" i="5"/>
  <c r="P52" i="5"/>
  <c r="J53" i="5"/>
  <c r="K53" i="5"/>
  <c r="L53" i="5"/>
  <c r="M53" i="5"/>
  <c r="O53" i="5"/>
  <c r="P53" i="5"/>
  <c r="J54" i="5"/>
  <c r="O54" i="5"/>
  <c r="D54" i="5"/>
  <c r="P54" i="5"/>
  <c r="J55" i="5"/>
  <c r="K55" i="5"/>
  <c r="O55" i="5"/>
  <c r="P55" i="5"/>
  <c r="F9" i="10"/>
  <c r="G9" i="10"/>
  <c r="B15" i="10"/>
  <c r="C15" i="10"/>
  <c r="E15" i="10"/>
  <c r="B16" i="10"/>
  <c r="C16" i="10"/>
  <c r="D16" i="10"/>
  <c r="E16" i="10"/>
  <c r="B17" i="10"/>
  <c r="C17" i="10"/>
  <c r="D17" i="10"/>
  <c r="E17" i="10"/>
  <c r="B18" i="10"/>
  <c r="C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3" i="10"/>
  <c r="C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B56" i="10"/>
  <c r="C56" i="10"/>
  <c r="D56" i="10"/>
  <c r="E56" i="10"/>
  <c r="D9" i="3"/>
  <c r="E9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D9" i="2"/>
  <c r="E9" i="2"/>
  <c r="D29" i="2"/>
  <c r="E29" i="2"/>
  <c r="I34" i="2"/>
  <c r="I35" i="2"/>
  <c r="I36" i="2"/>
  <c r="I37" i="2"/>
  <c r="D47" i="2"/>
  <c r="D49" i="2"/>
  <c r="E49" i="2"/>
  <c r="G49" i="2"/>
  <c r="D64" i="2"/>
  <c r="E64" i="2"/>
  <c r="D77" i="2"/>
  <c r="E77" i="2"/>
  <c r="E98" i="2"/>
  <c r="D99" i="2"/>
  <c r="E99" i="2"/>
  <c r="A105" i="2"/>
  <c r="E10" i="1"/>
  <c r="F10" i="1"/>
  <c r="N10" i="1"/>
  <c r="O10" i="1"/>
  <c r="V10" i="1"/>
  <c r="W10" i="1"/>
  <c r="N19" i="1"/>
  <c r="O19" i="1"/>
  <c r="V22" i="1"/>
  <c r="W22" i="1"/>
  <c r="E30" i="1"/>
  <c r="H30" i="1"/>
  <c r="F30" i="1"/>
  <c r="I30" i="1"/>
  <c r="H35" i="1"/>
  <c r="H36" i="1"/>
  <c r="I36" i="1"/>
  <c r="S15" i="4"/>
  <c r="E15" i="4" s="1"/>
  <c r="O48" i="4"/>
  <c r="P48" i="4"/>
  <c r="K50" i="5"/>
  <c r="L50" i="5"/>
  <c r="M50" i="5"/>
  <c r="K47" i="5"/>
  <c r="K28" i="5"/>
  <c r="L28" i="5"/>
  <c r="K52" i="5"/>
  <c r="L52" i="5"/>
  <c r="M52" i="5"/>
  <c r="K37" i="5"/>
  <c r="L37" i="5"/>
  <c r="M37" i="5"/>
  <c r="K19" i="5"/>
  <c r="O38" i="4"/>
  <c r="P38" i="4"/>
  <c r="O40" i="4"/>
  <c r="P40" i="4"/>
  <c r="K40" i="5"/>
  <c r="L40" i="5"/>
  <c r="M40" i="5"/>
  <c r="O32" i="4"/>
  <c r="O23" i="4"/>
  <c r="D23" i="4"/>
  <c r="S16" i="4"/>
  <c r="E16" i="4" s="1"/>
  <c r="F16" i="4" s="1"/>
  <c r="K14" i="5"/>
  <c r="R17" i="4"/>
  <c r="P33" i="4"/>
  <c r="O24" i="4"/>
  <c r="D24" i="4"/>
  <c r="S14" i="4"/>
  <c r="E14" i="4" s="1"/>
  <c r="G32" i="11"/>
  <c r="F18" i="11"/>
  <c r="F17" i="11"/>
  <c r="F15" i="11"/>
  <c r="F14" i="11"/>
  <c r="F32" i="11"/>
  <c r="H32" i="11"/>
  <c r="S24" i="4"/>
  <c r="E24" i="4" s="1"/>
  <c r="F24" i="4" s="1"/>
  <c r="S22" i="4"/>
  <c r="E22" i="4" s="1"/>
  <c r="P17" i="4"/>
  <c r="L47" i="5"/>
  <c r="M47" i="5"/>
  <c r="E50" i="2"/>
  <c r="J35" i="2"/>
  <c r="J36" i="2"/>
  <c r="J34" i="2"/>
  <c r="G50" i="2"/>
  <c r="L14" i="5"/>
  <c r="M14" i="5"/>
  <c r="S38" i="4"/>
  <c r="E38" i="4" s="1"/>
  <c r="F38" i="4" s="1"/>
  <c r="S23" i="4"/>
  <c r="L23" i="5"/>
  <c r="M23" i="5"/>
  <c r="S34" i="4"/>
  <c r="E34" i="4" s="1"/>
  <c r="S29" i="4"/>
  <c r="S20" i="4"/>
  <c r="D50" i="2"/>
  <c r="S23" i="5" s="1"/>
  <c r="E23" i="5" s="1"/>
  <c r="J37" i="2"/>
  <c r="K54" i="5"/>
  <c r="L54" i="5"/>
  <c r="M54" i="5"/>
  <c r="K17" i="5"/>
  <c r="L17" i="5"/>
  <c r="S30" i="4"/>
  <c r="E30" i="4" s="1"/>
  <c r="K49" i="5"/>
  <c r="L49" i="5"/>
  <c r="I35" i="1"/>
  <c r="S25" i="4"/>
  <c r="E25" i="4" s="1"/>
  <c r="S40" i="4"/>
  <c r="S42" i="4"/>
  <c r="E42" i="4" s="1"/>
  <c r="F42" i="4" s="1"/>
  <c r="S52" i="4"/>
  <c r="K25" i="5"/>
  <c r="L25" i="5"/>
  <c r="M25" i="5"/>
  <c r="O28" i="4"/>
  <c r="O20" i="4"/>
  <c r="P30" i="4"/>
  <c r="P29" i="4"/>
  <c r="D15" i="10"/>
  <c r="D33" i="10"/>
  <c r="O55" i="4"/>
  <c r="S50" i="4"/>
  <c r="E50" i="4" s="1"/>
  <c r="F50" i="4" s="1"/>
  <c r="S43" i="4"/>
  <c r="E43" i="4" s="1"/>
  <c r="S45" i="4"/>
  <c r="E45" i="4" s="1"/>
  <c r="P34" i="4"/>
  <c r="S48" i="4"/>
  <c r="E48" i="4" s="1"/>
  <c r="S49" i="4"/>
  <c r="E49" i="4" s="1"/>
  <c r="F49" i="4" s="1"/>
  <c r="S55" i="4"/>
  <c r="E55" i="4" s="1"/>
  <c r="S44" i="4"/>
  <c r="E44" i="4" s="1"/>
  <c r="F44" i="4" s="1"/>
  <c r="S27" i="4"/>
  <c r="E27" i="4" s="1"/>
  <c r="R35" i="4"/>
  <c r="O27" i="4"/>
  <c r="P44" i="4"/>
  <c r="S53" i="4"/>
  <c r="E53" i="4" s="1"/>
  <c r="F53" i="4" s="1"/>
  <c r="P42" i="4"/>
  <c r="P25" i="4"/>
  <c r="P50" i="4"/>
  <c r="S28" i="4"/>
  <c r="E28" i="4" s="1"/>
  <c r="F28" i="4" s="1"/>
  <c r="O50" i="4"/>
  <c r="D50" i="4"/>
  <c r="O15" i="4"/>
  <c r="R27" i="4"/>
  <c r="D27" i="4"/>
  <c r="S47" i="4"/>
  <c r="E47" i="4" s="1"/>
  <c r="F47" i="4" s="1"/>
  <c r="R14" i="4"/>
  <c r="S18" i="4"/>
  <c r="E18" i="4" s="1"/>
  <c r="L24" i="5"/>
  <c r="M24" i="5"/>
  <c r="P21" i="4"/>
  <c r="L43" i="5"/>
  <c r="M43" i="5"/>
  <c r="L32" i="5"/>
  <c r="M32" i="5"/>
  <c r="L44" i="5"/>
  <c r="M44" i="5"/>
  <c r="L33" i="5"/>
  <c r="M33" i="5"/>
  <c r="O14" i="4"/>
  <c r="P53" i="4"/>
  <c r="R39" i="4"/>
  <c r="D39" i="4"/>
  <c r="P37" i="4"/>
  <c r="R21" i="4"/>
  <c r="O19" i="4"/>
  <c r="O17" i="4"/>
  <c r="M28" i="5"/>
  <c r="L20" i="5"/>
  <c r="M16" i="5"/>
  <c r="O37" i="4"/>
  <c r="P45" i="4"/>
  <c r="O53" i="4"/>
  <c r="D53" i="4"/>
  <c r="L39" i="5"/>
  <c r="M39" i="5"/>
  <c r="M49" i="5"/>
  <c r="L22" i="5"/>
  <c r="M20" i="5"/>
  <c r="L34" i="5"/>
  <c r="M34" i="5"/>
  <c r="L15" i="5"/>
  <c r="M15" i="5"/>
  <c r="K21" i="5"/>
  <c r="L21" i="5"/>
  <c r="L35" i="5"/>
  <c r="M35" i="5"/>
  <c r="M38" i="5"/>
  <c r="L27" i="5"/>
  <c r="M27" i="5"/>
  <c r="L30" i="5"/>
  <c r="M30" i="5"/>
  <c r="K48" i="5"/>
  <c r="K29" i="5"/>
  <c r="L29" i="5"/>
  <c r="K18" i="5"/>
  <c r="R54" i="4"/>
  <c r="P49" i="4"/>
  <c r="P47" i="4"/>
  <c r="P16" i="4"/>
  <c r="P52" i="4"/>
  <c r="M17" i="5"/>
  <c r="S17" i="4"/>
  <c r="E17" i="4" s="1"/>
  <c r="F17" i="4" s="1"/>
  <c r="M42" i="5"/>
  <c r="P35" i="4"/>
  <c r="R19" i="4"/>
  <c r="L19" i="5"/>
  <c r="L55" i="5"/>
  <c r="M55" i="5"/>
  <c r="P39" i="4"/>
  <c r="D49" i="4"/>
  <c r="O47" i="4"/>
  <c r="D47" i="4"/>
  <c r="F22" i="7"/>
  <c r="L48" i="5"/>
  <c r="M48" i="5"/>
  <c r="M22" i="5"/>
  <c r="M29" i="5"/>
  <c r="M21" i="5"/>
  <c r="L18" i="5"/>
  <c r="M18" i="5"/>
  <c r="M19" i="5"/>
  <c r="F20" i="7"/>
  <c r="D17" i="4"/>
  <c r="F16" i="7"/>
  <c r="R55" i="5"/>
  <c r="D55" i="5"/>
  <c r="R29" i="5"/>
  <c r="R54" i="5"/>
  <c r="R37" i="5"/>
  <c r="D37" i="5"/>
  <c r="R44" i="5"/>
  <c r="R16" i="5"/>
  <c r="D16" i="5"/>
  <c r="R48" i="5"/>
  <c r="D48" i="5"/>
  <c r="R30" i="5"/>
  <c r="D30" i="5"/>
  <c r="R18" i="5"/>
  <c r="D18" i="5"/>
  <c r="R24" i="5"/>
  <c r="D24" i="5"/>
  <c r="R22" i="5"/>
  <c r="D22" i="5"/>
  <c r="R32" i="5"/>
  <c r="D45" i="4"/>
  <c r="D19" i="4"/>
  <c r="F24" i="7"/>
  <c r="F18" i="7"/>
  <c r="F14" i="7"/>
  <c r="F15" i="7"/>
  <c r="D14" i="4"/>
  <c r="D52" i="4"/>
  <c r="F17" i="7"/>
  <c r="H55" i="11"/>
  <c r="H21" i="11"/>
  <c r="H42" i="11"/>
  <c r="H54" i="11"/>
  <c r="H44" i="11"/>
  <c r="G17" i="11"/>
  <c r="H17" i="11"/>
  <c r="H52" i="11"/>
  <c r="H49" i="11"/>
  <c r="H47" i="11"/>
  <c r="H39" i="11"/>
  <c r="H37" i="11"/>
  <c r="H34" i="11"/>
  <c r="H16" i="11"/>
  <c r="H14" i="11"/>
  <c r="H15" i="11"/>
  <c r="D16" i="4"/>
  <c r="D22" i="4"/>
  <c r="D24" i="3"/>
  <c r="D34" i="4"/>
  <c r="F49" i="10"/>
  <c r="E37" i="4"/>
  <c r="F37" i="4" s="1"/>
  <c r="P43" i="4"/>
  <c r="R37" i="4"/>
  <c r="D37" i="4"/>
  <c r="R32" i="4"/>
  <c r="D32" i="4"/>
  <c r="F33" i="10"/>
  <c r="P22" i="4"/>
  <c r="P18" i="4"/>
  <c r="F39" i="10"/>
  <c r="F30" i="10"/>
  <c r="E19" i="4"/>
  <c r="F19" i="4" s="1"/>
  <c r="E23" i="4"/>
  <c r="E35" i="4"/>
  <c r="F35" i="4" s="1"/>
  <c r="E20" i="4"/>
  <c r="F20" i="4" s="1"/>
  <c r="F55" i="10"/>
  <c r="F45" i="10"/>
  <c r="S33" i="4"/>
  <c r="E33" i="4" s="1"/>
  <c r="F33" i="4" s="1"/>
  <c r="E52" i="4"/>
  <c r="F52" i="4" s="1"/>
  <c r="F31" i="10"/>
  <c r="P54" i="4"/>
  <c r="F56" i="10"/>
  <c r="D18" i="3"/>
  <c r="F17" i="10"/>
  <c r="D45" i="5"/>
  <c r="F46" i="10"/>
  <c r="D14" i="5"/>
  <c r="F23" i="10"/>
  <c r="F25" i="10"/>
  <c r="D26" i="3"/>
  <c r="D20" i="3"/>
  <c r="F19" i="10"/>
  <c r="D34" i="5"/>
  <c r="F35" i="10"/>
  <c r="R19" i="5"/>
  <c r="D19" i="5"/>
  <c r="R52" i="5"/>
  <c r="D52" i="5"/>
  <c r="F53" i="10"/>
  <c r="R40" i="5"/>
  <c r="D40" i="5"/>
  <c r="F41" i="10"/>
  <c r="A106" i="2"/>
  <c r="R43" i="5"/>
  <c r="D43" i="5"/>
  <c r="F44" i="10"/>
  <c r="R17" i="5"/>
  <c r="D17" i="5"/>
  <c r="R50" i="5"/>
  <c r="D50" i="5"/>
  <c r="F51" i="10"/>
  <c r="R25" i="5"/>
  <c r="D25" i="5"/>
  <c r="F26" i="10"/>
  <c r="R14" i="5"/>
  <c r="R15" i="5"/>
  <c r="D15" i="5"/>
  <c r="R47" i="5"/>
  <c r="D47" i="5"/>
  <c r="F48" i="10"/>
  <c r="R53" i="5"/>
  <c r="D53" i="5"/>
  <c r="F54" i="10"/>
  <c r="R39" i="5"/>
  <c r="D39" i="5"/>
  <c r="F40" i="10"/>
  <c r="R49" i="5"/>
  <c r="D49" i="5"/>
  <c r="F50" i="10"/>
  <c r="R35" i="5"/>
  <c r="D35" i="5"/>
  <c r="F36" i="10"/>
  <c r="R42" i="5"/>
  <c r="D42" i="5"/>
  <c r="F43" i="10"/>
  <c r="R20" i="5"/>
  <c r="D20" i="5"/>
  <c r="R23" i="5"/>
  <c r="D23" i="5"/>
  <c r="R45" i="5"/>
  <c r="R33" i="5"/>
  <c r="D33" i="5"/>
  <c r="F34" i="10"/>
  <c r="R34" i="5"/>
  <c r="A107" i="2"/>
  <c r="R28" i="5"/>
  <c r="D28" i="5"/>
  <c r="F29" i="10"/>
  <c r="R21" i="5"/>
  <c r="D21" i="5"/>
  <c r="R27" i="5"/>
  <c r="D27" i="5"/>
  <c r="F28" i="10"/>
  <c r="S25" i="5"/>
  <c r="S22" i="5"/>
  <c r="E22" i="5" s="1"/>
  <c r="F22" i="5" s="1"/>
  <c r="S20" i="5"/>
  <c r="E20" i="5" s="1"/>
  <c r="F20" i="5" s="1"/>
  <c r="S32" i="5"/>
  <c r="E32" i="5" s="1"/>
  <c r="S24" i="5"/>
  <c r="E24" i="5" s="1"/>
  <c r="F24" i="5" s="1"/>
  <c r="S34" i="5"/>
  <c r="E34" i="5" s="1"/>
  <c r="F34" i="5" s="1"/>
  <c r="S54" i="5"/>
  <c r="E54" i="5" s="1"/>
  <c r="F54" i="5" s="1"/>
  <c r="S55" i="5"/>
  <c r="E55" i="5" s="1"/>
  <c r="F55" i="5" s="1"/>
  <c r="S16" i="5"/>
  <c r="E16" i="5" s="1"/>
  <c r="F16" i="5" s="1"/>
  <c r="S14" i="5"/>
  <c r="E14" i="5" s="1"/>
  <c r="F14" i="5" s="1"/>
  <c r="S45" i="5"/>
  <c r="E45" i="5" s="1"/>
  <c r="F45" i="5" s="1"/>
  <c r="S30" i="5"/>
  <c r="E30" i="5" s="1"/>
  <c r="F30" i="5" s="1"/>
  <c r="S39" i="5"/>
  <c r="E39" i="5" s="1"/>
  <c r="S47" i="5"/>
  <c r="E47" i="5" s="1"/>
  <c r="F47" i="5" s="1"/>
  <c r="S27" i="5"/>
  <c r="E27" i="5" s="1"/>
  <c r="F27" i="5" s="1"/>
  <c r="S18" i="5"/>
  <c r="S38" i="5"/>
  <c r="E38" i="5"/>
  <c r="F38" i="5" s="1"/>
  <c r="S15" i="5"/>
  <c r="E15" i="5" s="1"/>
  <c r="F15" i="5" s="1"/>
  <c r="S52" i="5"/>
  <c r="E52" i="5" s="1"/>
  <c r="F52" i="5" s="1"/>
  <c r="S17" i="5"/>
  <c r="E17" i="5" s="1"/>
  <c r="F17" i="5" s="1"/>
  <c r="S53" i="5"/>
  <c r="E53" i="5" s="1"/>
  <c r="E25" i="5"/>
  <c r="F25" i="5" s="1"/>
  <c r="S37" i="5"/>
  <c r="E37" i="5" s="1"/>
  <c r="S44" i="5"/>
  <c r="E44" i="5" s="1"/>
  <c r="F44" i="5" s="1"/>
  <c r="S43" i="5"/>
  <c r="E43" i="5" s="1"/>
  <c r="F43" i="5" s="1"/>
  <c r="S50" i="5"/>
  <c r="E50" i="5" s="1"/>
  <c r="S40" i="5"/>
  <c r="E40" i="5" s="1"/>
  <c r="F40" i="5" s="1"/>
  <c r="S29" i="5"/>
  <c r="E29" i="5" s="1"/>
  <c r="F29" i="5" s="1"/>
  <c r="S21" i="5"/>
  <c r="E21" i="5" s="1"/>
  <c r="S49" i="5"/>
  <c r="E49" i="5" s="1"/>
  <c r="S33" i="5"/>
  <c r="E33" i="5" s="1"/>
  <c r="S19" i="5"/>
  <c r="E19" i="5" s="1"/>
  <c r="S42" i="5"/>
  <c r="E42" i="5" s="1"/>
  <c r="F42" i="5" s="1"/>
  <c r="E21" i="4"/>
  <c r="F21" i="4" s="1"/>
  <c r="E39" i="4"/>
  <c r="F39" i="4" s="1"/>
  <c r="H20" i="11"/>
  <c r="H48" i="11"/>
  <c r="F19" i="7"/>
  <c r="E29" i="4"/>
  <c r="F29" i="4" s="1"/>
  <c r="E40" i="4"/>
  <c r="F40" i="4" s="1"/>
  <c r="F23" i="4"/>
  <c r="F38" i="10"/>
  <c r="A112" i="2"/>
  <c r="A113" i="2"/>
  <c r="D19" i="3"/>
  <c r="F18" i="10"/>
  <c r="F15" i="10"/>
  <c r="D16" i="3"/>
  <c r="D21" i="3"/>
  <c r="F20" i="10"/>
  <c r="A110" i="2"/>
  <c r="D25" i="3"/>
  <c r="F24" i="10"/>
  <c r="F16" i="10"/>
  <c r="D17" i="3"/>
  <c r="F22" i="10"/>
  <c r="D23" i="3"/>
  <c r="F21" i="10"/>
  <c r="D22" i="3"/>
  <c r="A111" i="2"/>
  <c r="E18" i="5"/>
  <c r="F18" i="5" s="1"/>
  <c r="S28" i="5" l="1"/>
  <c r="E28" i="5" s="1"/>
  <c r="F28" i="5" s="1"/>
  <c r="S35" i="5"/>
  <c r="E35" i="5" s="1"/>
  <c r="F35" i="5" s="1"/>
  <c r="S48" i="5"/>
  <c r="E48" i="5" s="1"/>
  <c r="F48" i="5" s="1"/>
  <c r="F34" i="4"/>
  <c r="G35" i="10"/>
  <c r="H35" i="10" s="1"/>
  <c r="G34" i="10"/>
  <c r="H34" i="10" s="1"/>
  <c r="G45" i="10"/>
  <c r="H45" i="10" s="1"/>
  <c r="G53" i="10"/>
  <c r="H53" i="10" s="1"/>
  <c r="F20" i="3"/>
  <c r="E19" i="3"/>
  <c r="F19" i="3" s="1"/>
  <c r="G40" i="10"/>
  <c r="H40" i="10" s="1"/>
  <c r="F39" i="5"/>
  <c r="F32" i="5"/>
  <c r="G33" i="10"/>
  <c r="H33" i="10" s="1"/>
  <c r="G24" i="10"/>
  <c r="H24" i="10" s="1"/>
  <c r="E25" i="3"/>
  <c r="F25" i="3" s="1"/>
  <c r="F23" i="5"/>
  <c r="G38" i="10"/>
  <c r="H38" i="10" s="1"/>
  <c r="F37" i="5"/>
  <c r="F49" i="5"/>
  <c r="G50" i="10"/>
  <c r="H50" i="10" s="1"/>
  <c r="G22" i="10"/>
  <c r="H22" i="10" s="1"/>
  <c r="F21" i="5"/>
  <c r="F53" i="5"/>
  <c r="G54" i="10"/>
  <c r="H54" i="10" s="1"/>
  <c r="F19" i="5"/>
  <c r="G20" i="10"/>
  <c r="H20" i="10" s="1"/>
  <c r="F50" i="5"/>
  <c r="G51" i="10"/>
  <c r="H51" i="10" s="1"/>
  <c r="G48" i="10"/>
  <c r="H48" i="10" s="1"/>
  <c r="G28" i="10"/>
  <c r="H28" i="10" s="1"/>
  <c r="E23" i="3"/>
  <c r="F23" i="3" s="1"/>
  <c r="F33" i="5"/>
  <c r="G39" i="10"/>
  <c r="H39" i="10" s="1"/>
  <c r="G25" i="10"/>
  <c r="H25" i="10" s="1"/>
  <c r="G30" i="10"/>
  <c r="H30" i="10" s="1"/>
  <c r="G43" i="10"/>
  <c r="H43" i="10" s="1"/>
  <c r="G19" i="10"/>
  <c r="H19" i="10" s="1"/>
  <c r="F48" i="4"/>
  <c r="G49" i="10"/>
  <c r="H49" i="10" s="1"/>
  <c r="G23" i="10"/>
  <c r="H23" i="10" s="1"/>
  <c r="F22" i="4"/>
  <c r="E24" i="3"/>
  <c r="F24" i="3" s="1"/>
  <c r="E16" i="3"/>
  <c r="F16" i="3" s="1"/>
  <c r="F14" i="4"/>
  <c r="G15" i="10"/>
  <c r="H15" i="10" s="1"/>
  <c r="F15" i="4"/>
  <c r="E17" i="3"/>
  <c r="F17" i="3" s="1"/>
  <c r="G16" i="10"/>
  <c r="H16" i="10" s="1"/>
  <c r="G46" i="10"/>
  <c r="H46" i="10" s="1"/>
  <c r="F45" i="4"/>
  <c r="F43" i="4"/>
  <c r="G44" i="10"/>
  <c r="H44" i="10" s="1"/>
  <c r="F25" i="4"/>
  <c r="G26" i="10"/>
  <c r="H26" i="10" s="1"/>
  <c r="F54" i="4"/>
  <c r="G55" i="10"/>
  <c r="H55" i="10" s="1"/>
  <c r="G56" i="10"/>
  <c r="H56" i="10" s="1"/>
  <c r="F55" i="4"/>
  <c r="F30" i="4"/>
  <c r="G31" i="10"/>
  <c r="H31" i="10" s="1"/>
  <c r="G21" i="10"/>
  <c r="H21" i="10" s="1"/>
  <c r="E21" i="3"/>
  <c r="F21" i="3" s="1"/>
  <c r="E22" i="3"/>
  <c r="F22" i="3" s="1"/>
  <c r="G17" i="10"/>
  <c r="H17" i="10" s="1"/>
  <c r="F27" i="4"/>
  <c r="G41" i="10"/>
  <c r="H41" i="10" s="1"/>
  <c r="E26" i="3"/>
  <c r="F26" i="3" s="1"/>
  <c r="G18" i="10"/>
  <c r="H18" i="10" s="1"/>
  <c r="F18" i="4"/>
  <c r="F18" i="3" l="1"/>
  <c r="G36" i="10"/>
  <c r="H36" i="10" s="1"/>
  <c r="G29" i="10"/>
  <c r="H29" i="10" s="1"/>
</calcChain>
</file>

<file path=xl/sharedStrings.xml><?xml version="1.0" encoding="utf-8"?>
<sst xmlns="http://schemas.openxmlformats.org/spreadsheetml/2006/main" count="380" uniqueCount="157">
  <si>
    <t>SERVICE CHARGE</t>
  </si>
  <si>
    <t>Monthly</t>
  </si>
  <si>
    <t>Meter Size</t>
  </si>
  <si>
    <t>Charge</t>
  </si>
  <si>
    <t>Inches</t>
  </si>
  <si>
    <t>$</t>
  </si>
  <si>
    <t>5/8</t>
  </si>
  <si>
    <t>3/4</t>
  </si>
  <si>
    <t>1-1/4</t>
  </si>
  <si>
    <t>1-1/2</t>
  </si>
  <si>
    <t>Monthly Water Usage</t>
  </si>
  <si>
    <t>per Mcf</t>
  </si>
  <si>
    <t>All Billable Water Usage</t>
  </si>
  <si>
    <t>Groundwater Charge</t>
  </si>
  <si>
    <t>SURCHARGE RATES</t>
  </si>
  <si>
    <t>BOD ($/lb in excess of 250 mg/l)</t>
  </si>
  <si>
    <t>SS ($/lb in excess of 350 mg/l)</t>
  </si>
  <si>
    <t>Mcf - Thousand cubic feet</t>
  </si>
  <si>
    <t>mg/l - milligrams per liter</t>
  </si>
  <si>
    <t>Charge per Bill</t>
  </si>
  <si>
    <t>METER BASED SERVICE CHARGE</t>
  </si>
  <si>
    <t>GA ($/500 sf)</t>
  </si>
  <si>
    <t>IA ($/500 sf)</t>
  </si>
  <si>
    <t>Charge Per Parcel</t>
  </si>
  <si>
    <t>SANITARY SEWER</t>
  </si>
  <si>
    <t>GENERAL SERVICE</t>
  </si>
  <si>
    <t>First 2 Mcf</t>
  </si>
  <si>
    <t>Next 98 Mcf</t>
  </si>
  <si>
    <t>Next 1,900 Mcf</t>
  </si>
  <si>
    <t>Over 2,000 Mcf</t>
  </si>
  <si>
    <t>Existing</t>
  </si>
  <si>
    <t>Use</t>
  </si>
  <si>
    <t>Rates</t>
  </si>
  <si>
    <t>of Existing</t>
  </si>
  <si>
    <t>Mcf</t>
  </si>
  <si>
    <t>%</t>
  </si>
  <si>
    <t>&gt; 2000</t>
  </si>
  <si>
    <t>Service Charge</t>
  </si>
  <si>
    <t>Volume by Block</t>
  </si>
  <si>
    <t>FOR NON-RESIDENTIAL CUSTOMERS</t>
  </si>
  <si>
    <t>Min Charge</t>
  </si>
  <si>
    <t>Impervious</t>
  </si>
  <si>
    <t>Area</t>
  </si>
  <si>
    <t>sf</t>
  </si>
  <si>
    <t>Gross</t>
  </si>
  <si>
    <t>R</t>
  </si>
  <si>
    <t>Q</t>
  </si>
  <si>
    <t>X</t>
  </si>
  <si>
    <t>W</t>
  </si>
  <si>
    <t>N</t>
  </si>
  <si>
    <t>V</t>
  </si>
  <si>
    <t>E</t>
  </si>
  <si>
    <t>sf - square feet</t>
  </si>
  <si>
    <t>Meter</t>
  </si>
  <si>
    <t>Size</t>
  </si>
  <si>
    <t>FIRE PROTECTION</t>
  </si>
  <si>
    <t>PRIVATE FIRE PROTECTION</t>
  </si>
  <si>
    <t>Size of Meter</t>
  </si>
  <si>
    <t>or Connection</t>
  </si>
  <si>
    <t>4" or less</t>
  </si>
  <si>
    <t>PUBLIC FIRE PROTECTION</t>
  </si>
  <si>
    <t>Annual</t>
  </si>
  <si>
    <t>Standard Pressure</t>
  </si>
  <si>
    <t>RESIDENTIAL PRIVATE FIRE PROTECTION</t>
  </si>
  <si>
    <t>Water Service Charge Including Fire Protection</t>
  </si>
  <si>
    <t>Sewer Service Charge</t>
  </si>
  <si>
    <t>TABLE W-19</t>
  </si>
  <si>
    <t>Table SW-19A</t>
  </si>
  <si>
    <t>Table SW-19B</t>
  </si>
  <si>
    <t>FOR RESIDENTIAL SERVICE</t>
  </si>
  <si>
    <t>TABLE C-4</t>
  </si>
  <si>
    <t>BILL FOR RESIDENTIAL CUSTOMERS</t>
  </si>
  <si>
    <t>TABLE C-5</t>
  </si>
  <si>
    <t>WATER:  COMPARISON OF TYPICAL BILLS</t>
  </si>
  <si>
    <t>WASTEWATER:  COMPARISON OF TYPICAL BILLS</t>
  </si>
  <si>
    <t xml:space="preserve">STORMWATER:  COMPARISON OF TYPICAL RESIDENTIAL </t>
  </si>
  <si>
    <t xml:space="preserve">STORMWATER: COMPARISON OF EXAMPLE NON-RESIDENTIAL </t>
  </si>
  <si>
    <t>This line added to calculate the non residential water usage charge for a 5/8 inch commercial customer with 11 ccf usage per month. The 11 ccf was derived from rate model for FY 2017</t>
  </si>
  <si>
    <t>Criteria used for calculation of typical non-residential bill</t>
  </si>
  <si>
    <t>FOR GENERAL SERVICE</t>
  </si>
  <si>
    <t>Table WW-18</t>
  </si>
  <si>
    <t>BILLING &amp; COLLECTION CHARGE</t>
  </si>
  <si>
    <t>STORMWATER MANAGEMENT SERVICE CHARGE</t>
  </si>
  <si>
    <t>FOR NON-RESIDENTIAL</t>
  </si>
  <si>
    <t>Current Year</t>
  </si>
  <si>
    <t>Rate Year 1</t>
  </si>
  <si>
    <t>Rate Year 2</t>
  </si>
  <si>
    <t>Calculate the senior citizen water usage charge for a 5/8 inch residential customer with 3 ccf usage per month. The 3 ccf was derived from RFC report dated 9/15/2017</t>
  </si>
  <si>
    <t>Use 5ccf for typical bill for a residential customer per RFC report dated 9/15/2017</t>
  </si>
  <si>
    <t>TABLE W-19A</t>
  </si>
  <si>
    <t>TABLE W-18</t>
  </si>
  <si>
    <t>TAP RIDER SEWER SURCHARGE</t>
  </si>
  <si>
    <t>TAP RIDER WATER SURCHARGE</t>
  </si>
  <si>
    <t>Line</t>
  </si>
  <si>
    <t>No.</t>
  </si>
  <si>
    <t xml:space="preserve">FY 2020 TAP Rate Rider Surcharge rate is estimated and subject to annual reconciliation. </t>
  </si>
  <si>
    <t>QUANTITY CHARGE (BASE RATES)</t>
  </si>
  <si>
    <t>QUANTITY CHARGE (TOTAL)</t>
  </si>
  <si>
    <t/>
  </si>
  <si>
    <t>FY 2022</t>
  </si>
  <si>
    <t xml:space="preserve">Notes: </t>
  </si>
  <si>
    <t>COMBINED SYSTEM:  COMPARISON OF TYPICAL</t>
  </si>
  <si>
    <t>COMBINED SYSTEM:  COMPARISON OF EXAMPLE BILLS</t>
  </si>
  <si>
    <t>Volume Charge including TAP-R Surcharge</t>
  </si>
  <si>
    <t>FY 2023</t>
  </si>
  <si>
    <t>Effective Date</t>
  </si>
  <si>
    <t>September 1, 2021</t>
  </si>
  <si>
    <t>September 1, 2022</t>
  </si>
  <si>
    <t xml:space="preserve">(a) Examples with gross area less than 5,000 square feet reflect an impervious area of 85% of the gross area consistent with PWD Regulations </t>
  </si>
  <si>
    <t xml:space="preserve">       section 304.3.</t>
  </si>
  <si>
    <t>Approved</t>
  </si>
  <si>
    <t>Philadelphia Water Department</t>
  </si>
  <si>
    <t>Table of Contents</t>
  </si>
  <si>
    <t xml:space="preserve">Typical Residential Customer Total Bills </t>
  </si>
  <si>
    <t>Water Charges</t>
  </si>
  <si>
    <t>Wastewater Charges</t>
  </si>
  <si>
    <t>Typical Non-Residential Customer Total Bills</t>
  </si>
  <si>
    <t>UNDER EXISTING AND APPROVED RATES</t>
  </si>
  <si>
    <t>Typical Non-Res Bills SW</t>
  </si>
  <si>
    <t>Typical Res Bills SW</t>
  </si>
  <si>
    <t>WASTEWATER:  APPROVED RATES</t>
  </si>
  <si>
    <t>STORMWATER:  APPROVED RATES</t>
  </si>
  <si>
    <t>APPROVED RATES FOR</t>
  </si>
  <si>
    <t>APPROVED WATER RATES FOR</t>
  </si>
  <si>
    <t>% Approved</t>
  </si>
  <si>
    <t xml:space="preserve">Approved </t>
  </si>
  <si>
    <t>BILLS UNDER EXISTING AND APPROVED RATES</t>
  </si>
  <si>
    <t>TOC</t>
  </si>
  <si>
    <t>Wastewater Delivered to WPCP</t>
  </si>
  <si>
    <t>per  1000 gallons</t>
  </si>
  <si>
    <t>Typical Res Bill Impacts</t>
  </si>
  <si>
    <t>Typical Bills Water</t>
  </si>
  <si>
    <t>Typical Bills Sanitary</t>
  </si>
  <si>
    <t xml:space="preserve">Last Updated </t>
  </si>
  <si>
    <t>Typ Non Res Bill Impact</t>
  </si>
  <si>
    <t>Monthly Wastewater Service Charges</t>
  </si>
  <si>
    <t>Monthly Water Service Charges</t>
  </si>
  <si>
    <t>Typical Water Bills Under Current &amp; Approved Rates</t>
  </si>
  <si>
    <t>Typical Sanitary Sewer Bills Under Current &amp; Approved Rates</t>
  </si>
  <si>
    <t>Typical Stormwater Bills for Residential Customers Under Current &amp; Approved Rates</t>
  </si>
  <si>
    <t>Typical Stormwater Bills for Non-Residential Customers Under Current &amp; Approved Rates</t>
  </si>
  <si>
    <t>FY 2024</t>
  </si>
  <si>
    <t>September 1, 2023</t>
  </si>
  <si>
    <t>Proposed</t>
  </si>
  <si>
    <t>UNDER EXISTING AND PROPOSED RATES</t>
  </si>
  <si>
    <t>% Proposed</t>
  </si>
  <si>
    <t xml:space="preserve">Typical Senior Citizen is presented prior to discount. Eligible Senior Citizen's receive a 25% discount </t>
  </si>
  <si>
    <t xml:space="preserve">The TAP-R Rates are subject to annual reconciliation. </t>
  </si>
  <si>
    <t>Typical Senior</t>
  </si>
  <si>
    <t>Typical Residential</t>
  </si>
  <si>
    <t>Typical Small Business</t>
  </si>
  <si>
    <t>conjunction with the Special Rate Reconciliation Proceeding, the Water Department proposes no</t>
  </si>
  <si>
    <t>Typical Bill Impacts</t>
  </si>
  <si>
    <t>Inputs</t>
  </si>
  <si>
    <t>Inputs (Fiscal Years and Effective Dates)</t>
  </si>
  <si>
    <t>Prior Rate Proceeding</t>
  </si>
  <si>
    <t>2021 Rate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</si>
</sst>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0&quot;_);_(@_)"/>
    <numFmt numFmtId="165" formatCode="#,##0.000_);\(#,##0.000\)"/>
    <numFmt numFmtId="166" formatCode="#,##0.0_);\(#,##0.0\)"/>
    <numFmt numFmtId="167" formatCode="#,##0.0000_);\(#,##0.0000\)"/>
    <numFmt numFmtId="168" formatCode="_(* #,##0_);_(* \(#,##0\);_(* &quot;-&quot;??_);_(@_)"/>
    <numFmt numFmtId="169" formatCode="0_);\(0\)"/>
    <numFmt numFmtId="170" formatCode="0.0"/>
    <numFmt numFmtId="171" formatCode="0.000"/>
    <numFmt numFmtId="172" formatCode="0.00_);\(0.00\)"/>
  </numFmts>
  <fonts count="75">
    <font>
      <sz val="11"/>
      <color theme="1"/>
      <name val="Times New Roman"/>
      <family val="2"/>
      <scheme val="minor"/>
    </font>
    <font>
      <b/>
      <sz val="14"/>
      <color indexed="8"/>
      <name val="Arial"/>
      <family val="2"/>
    </font>
    <font>
      <sz val="12"/>
      <name val="Arial MT"/>
    </font>
    <font>
      <b/>
      <sz val="12"/>
      <color indexed="8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u val="singleAccounting"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shadow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color indexed="23"/>
      <name val="Times New Roman"/>
      <family val="1"/>
    </font>
    <font>
      <sz val="10"/>
      <color indexed="12"/>
      <name val="Times New Roman"/>
      <family val="1"/>
    </font>
    <font>
      <sz val="8"/>
      <color indexed="8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4"/>
      <name val="Arial"/>
      <family val="2"/>
    </font>
    <font>
      <shadow/>
      <sz val="10"/>
      <color indexed="16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2"/>
      <color indexed="9"/>
      <name val="Arial"/>
      <family val="2"/>
    </font>
    <font>
      <sz val="12"/>
      <color indexed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sz val="11"/>
      <color indexed="31"/>
      <name val="Calibri"/>
      <family val="2"/>
    </font>
    <font>
      <b/>
      <sz val="11"/>
      <color indexed="13"/>
      <name val="Calibri"/>
      <family val="2"/>
    </font>
    <font>
      <b/>
      <sz val="11"/>
      <color indexed="31"/>
      <name val="Calibri"/>
      <family val="2"/>
    </font>
    <font>
      <i/>
      <sz val="11"/>
      <color indexed="63"/>
      <name val="Calibri"/>
      <family val="2"/>
    </font>
    <font>
      <b/>
      <sz val="11"/>
      <color indexed="48"/>
      <name val="Calibri"/>
      <family val="2"/>
    </font>
    <font>
      <sz val="11"/>
      <color indexed="13"/>
      <name val="Calibri"/>
      <family val="2"/>
    </font>
    <font>
      <sz val="11"/>
      <color indexed="19"/>
      <name val="Calibri"/>
      <family val="2"/>
    </font>
    <font>
      <b/>
      <sz val="18"/>
      <color indexed="48"/>
      <name val="Cambria"/>
      <family val="2"/>
    </font>
    <font>
      <sz val="10"/>
      <color indexed="12"/>
      <name val="Arial"/>
      <family val="2"/>
    </font>
    <font>
      <shadow/>
      <sz val="12"/>
      <color indexed="12"/>
      <name val="Arial"/>
      <family val="2"/>
    </font>
    <font>
      <b/>
      <sz val="14"/>
      <name val="Times New Roman"/>
      <family val="1"/>
    </font>
    <font>
      <sz val="6"/>
      <name val="Times New Roman"/>
      <family val="1"/>
    </font>
    <font>
      <sz val="10"/>
      <color indexed="16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8"/>
      <name val="Times New 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Times New Roman"/>
      <family val="2"/>
      <scheme val="minor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1"/>
      <color theme="1"/>
      <name val="Calibri"/>
      <family val="2"/>
    </font>
    <font>
      <sz val="10"/>
      <color rgb="FFFF0000"/>
      <name val="Times New Roman"/>
      <family val="1"/>
    </font>
    <font>
      <b/>
      <u val="singleAccounting"/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Times New Roman"/>
      <family val="2"/>
      <scheme val="minor"/>
    </font>
    <font>
      <sz val="11"/>
      <name val="Times New Roman"/>
      <family val="1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</font>
    <font>
      <b/>
      <sz val="12"/>
      <color theme="0"/>
      <name val="Arial"/>
      <family val="2"/>
      <scheme val="major"/>
    </font>
    <font>
      <b/>
      <u/>
      <sz val="11"/>
      <color theme="0"/>
      <name val="Calibri"/>
      <family val="2"/>
    </font>
    <font>
      <b/>
      <u/>
      <sz val="10"/>
      <color theme="0"/>
      <name val="Times New Roman"/>
      <family val="1"/>
    </font>
    <font>
      <sz val="11"/>
      <color theme="3"/>
      <name val="Times New Roman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u/>
      <sz val="10"/>
      <color theme="0"/>
      <name val="Times New Roman"/>
      <family val="1"/>
    </font>
    <font>
      <b/>
      <sz val="11"/>
      <color theme="0"/>
      <name val="Times New Roman"/>
      <family val="1"/>
      <scheme val="minor"/>
    </font>
    <font>
      <b/>
      <sz val="16"/>
      <color theme="1"/>
      <name val="Times New Roman"/>
      <family val="1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gray0625">
        <fgColor indexed="8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6"/>
      </patternFill>
    </fill>
    <fill>
      <patternFill patternType="solid">
        <fgColor indexed="31"/>
        <bgColor indexed="11"/>
      </patternFill>
    </fill>
    <fill>
      <patternFill patternType="solid">
        <fgColor indexed="43"/>
      </patternFill>
    </fill>
    <fill>
      <patternFill patternType="solid">
        <fgColor indexed="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9D"/>
        <bgColor indexed="64"/>
      </patternFill>
    </fill>
    <fill>
      <patternFill patternType="solid">
        <fgColor rgb="FF0077A4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2" tint="-0.499984740745262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0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185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12" borderId="0" applyNumberFormat="0" applyBorder="0" applyAlignment="0" applyProtection="0"/>
    <xf numFmtId="0" fontId="37" fillId="5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3" borderId="0" applyNumberFormat="0" applyBorder="0" applyAlignment="0" applyProtection="0"/>
    <xf numFmtId="0" fontId="37" fillId="9" borderId="0" applyNumberFormat="0" applyBorder="0" applyAlignment="0" applyProtection="0"/>
    <xf numFmtId="0" fontId="23" fillId="6" borderId="0" applyNumberFormat="0" applyBorder="0" applyAlignment="0" applyProtection="0"/>
    <xf numFmtId="0" fontId="38" fillId="16" borderId="1" applyNumberFormat="0" applyAlignment="0" applyProtection="0"/>
    <xf numFmtId="0" fontId="39" fillId="16" borderId="2" applyNumberFormat="0" applyAlignment="0" applyProtection="0"/>
    <xf numFmtId="43" fontId="5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3" fillId="0" borderId="0" applyFont="0" applyFill="0" applyBorder="0" applyAlignment="0" applyProtection="0"/>
    <xf numFmtId="4" fontId="20" fillId="17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0" fillId="17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20" fillId="17" borderId="0" applyFont="0" applyFill="0" applyBorder="0" applyAlignment="0" applyProtection="0"/>
    <xf numFmtId="0" fontId="20" fillId="17" borderId="0" applyFont="0" applyFill="0" applyBorder="0" applyAlignment="0" applyProtection="0"/>
    <xf numFmtId="0" fontId="40" fillId="0" borderId="0" applyNumberFormat="0" applyFill="0" applyBorder="0" applyAlignment="0" applyProtection="0"/>
    <xf numFmtId="2" fontId="20" fillId="17" borderId="0" applyFont="0" applyFill="0" applyBorder="0" applyAlignment="0" applyProtection="0"/>
    <xf numFmtId="0" fontId="24" fillId="7" borderId="0" applyNumberFormat="0" applyBorder="0" applyAlignment="0" applyProtection="0"/>
    <xf numFmtId="0" fontId="36" fillId="17" borderId="0" applyFont="0" applyFill="0" applyBorder="0" applyAlignment="0" applyProtection="0"/>
    <xf numFmtId="0" fontId="31" fillId="17" borderId="0" applyFont="0" applyFill="0" applyBorder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10" fillId="0" borderId="0">
      <alignment horizontal="left"/>
    </xf>
    <xf numFmtId="38" fontId="21" fillId="0" borderId="0"/>
    <xf numFmtId="3" fontId="2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3" fontId="18" fillId="0" borderId="0" applyNumberFormat="0" applyFill="0" applyBorder="0" applyAlignment="0"/>
    <xf numFmtId="37" fontId="46" fillId="18" borderId="0" applyNumberFormat="0" applyBorder="0" applyAlignment="0">
      <protection locked="0"/>
    </xf>
    <xf numFmtId="37" fontId="11" fillId="5" borderId="0" applyNumberFormat="0" applyAlignment="0">
      <protection locked="0"/>
    </xf>
    <xf numFmtId="37" fontId="11" fillId="19" borderId="0" applyNumberFormat="0" applyAlignment="0">
      <protection locked="0"/>
    </xf>
    <xf numFmtId="37" fontId="11" fillId="5" borderId="0" applyNumberFormat="0" applyAlignment="0">
      <protection locked="0"/>
    </xf>
    <xf numFmtId="37" fontId="11" fillId="5" borderId="0" applyAlignment="0">
      <protection locked="0"/>
    </xf>
    <xf numFmtId="0" fontId="42" fillId="0" borderId="4" applyNumberFormat="0" applyFill="0" applyAlignment="0" applyProtection="0"/>
    <xf numFmtId="37" fontId="17" fillId="20" borderId="0" applyNumberFormat="0" applyAlignment="0"/>
    <xf numFmtId="37" fontId="17" fillId="21" borderId="0" applyNumberFormat="0" applyAlignment="0"/>
    <xf numFmtId="37" fontId="17" fillId="20" borderId="0" applyNumberFormat="0" applyAlignment="0"/>
    <xf numFmtId="37" fontId="17" fillId="20" borderId="0" applyNumberFormat="0" applyBorder="0" applyAlignment="0"/>
    <xf numFmtId="167" fontId="7" fillId="22" borderId="5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32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27" fillId="0" borderId="0" applyNumberFormat="0" applyBorder="0" applyAlignment="0" applyProtection="0"/>
    <xf numFmtId="0" fontId="3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4" fillId="0" borderId="6" applyNumberFormat="0" applyBorder="0">
      <alignment horizontal="center"/>
    </xf>
    <xf numFmtId="0" fontId="31" fillId="25" borderId="0" applyNumberFormat="0" applyBorder="0" applyAlignment="0" applyProtection="0"/>
    <xf numFmtId="0" fontId="31" fillId="26" borderId="7" applyNumberFormat="0" applyBorder="0" applyAlignment="0" applyProtection="0"/>
    <xf numFmtId="0" fontId="31" fillId="26" borderId="7" applyNumberFormat="0" applyBorder="0" applyAlignment="0" applyProtection="0"/>
    <xf numFmtId="38" fontId="19" fillId="27" borderId="0" applyNumberFormat="0" applyAlignment="0"/>
    <xf numFmtId="0" fontId="19" fillId="0" borderId="0"/>
    <xf numFmtId="38" fontId="19" fillId="27" borderId="0" applyNumberFormat="0" applyAlignment="0"/>
    <xf numFmtId="37" fontId="49" fillId="28" borderId="5" applyNumberFormat="0" applyAlignment="0"/>
    <xf numFmtId="38" fontId="19" fillId="27" borderId="0" applyNumberFormat="0" applyBorder="0" applyAlignment="0"/>
    <xf numFmtId="0" fontId="43" fillId="29" borderId="0" applyNumberFormat="0" applyBorder="0" applyAlignment="0" applyProtection="0"/>
    <xf numFmtId="0" fontId="55" fillId="0" borderId="0"/>
    <xf numFmtId="0" fontId="55" fillId="0" borderId="0"/>
    <xf numFmtId="38" fontId="50" fillId="0" borderId="0"/>
    <xf numFmtId="38" fontId="53" fillId="0" borderId="0"/>
    <xf numFmtId="0" fontId="27" fillId="0" borderId="0"/>
    <xf numFmtId="0" fontId="27" fillId="0" borderId="0"/>
    <xf numFmtId="38" fontId="4" fillId="0" borderId="0"/>
    <xf numFmtId="0" fontId="55" fillId="0" borderId="0"/>
    <xf numFmtId="38" fontId="4" fillId="0" borderId="0"/>
    <xf numFmtId="38" fontId="4" fillId="0" borderId="0"/>
    <xf numFmtId="0" fontId="20" fillId="0" borderId="0"/>
    <xf numFmtId="0" fontId="20" fillId="0" borderId="0"/>
    <xf numFmtId="0" fontId="55" fillId="0" borderId="0"/>
    <xf numFmtId="0" fontId="20" fillId="0" borderId="0">
      <alignment vertical="top"/>
    </xf>
    <xf numFmtId="37" fontId="28" fillId="0" borderId="0" applyFill="0" applyBorder="0" applyAlignment="0"/>
    <xf numFmtId="0" fontId="27" fillId="0" borderId="0"/>
    <xf numFmtId="0" fontId="27" fillId="0" borderId="0"/>
    <xf numFmtId="38" fontId="4" fillId="0" borderId="0"/>
    <xf numFmtId="38" fontId="9" fillId="0" borderId="0"/>
    <xf numFmtId="0" fontId="27" fillId="8" borderId="8" applyNumberFormat="0" applyFont="0" applyAlignment="0" applyProtection="0"/>
    <xf numFmtId="0" fontId="25" fillId="16" borderId="1" applyNumberFormat="0" applyAlignment="0" applyProtection="0"/>
    <xf numFmtId="9" fontId="55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20" fillId="17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169" fontId="12" fillId="8" borderId="9">
      <alignment horizontal="left" vertical="center"/>
    </xf>
    <xf numFmtId="37" fontId="12" fillId="8" borderId="10" applyAlignment="0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9">
      <alignment horizontal="left" vertical="center"/>
      <protection locked="0"/>
    </xf>
    <xf numFmtId="37" fontId="12" fillId="8" borderId="11">
      <alignment horizontal="left" vertical="center"/>
    </xf>
    <xf numFmtId="39" fontId="15" fillId="0" borderId="0">
      <alignment horizontal="center"/>
    </xf>
    <xf numFmtId="37" fontId="15" fillId="0" borderId="0">
      <alignment horizontal="center"/>
    </xf>
    <xf numFmtId="2" fontId="14" fillId="30" borderId="0" applyNumberFormat="0" applyBorder="0" applyAlignment="0" applyProtection="0"/>
    <xf numFmtId="2" fontId="14" fillId="30" borderId="0" applyNumberFormat="0" applyBorder="0" applyAlignment="0" applyProtection="0"/>
    <xf numFmtId="38" fontId="14" fillId="30" borderId="0" applyNumberFormat="0" applyAlignment="0" applyProtection="0"/>
    <xf numFmtId="0" fontId="47" fillId="0" borderId="0"/>
    <xf numFmtId="0" fontId="16" fillId="0" borderId="0"/>
    <xf numFmtId="0" fontId="48" fillId="0" borderId="0"/>
    <xf numFmtId="0" fontId="29" fillId="0" borderId="0"/>
    <xf numFmtId="0" fontId="16" fillId="0" borderId="0"/>
    <xf numFmtId="0" fontId="44" fillId="0" borderId="0" applyNumberFormat="0" applyFill="0" applyBorder="0" applyAlignment="0" applyProtection="0"/>
    <xf numFmtId="37" fontId="1" fillId="0" borderId="0">
      <alignment horizontal="center"/>
    </xf>
    <xf numFmtId="0" fontId="1" fillId="0" borderId="0">
      <alignment horizontal="centerContinuous"/>
    </xf>
    <xf numFmtId="0" fontId="20" fillId="17" borderId="0" applyFont="0" applyFill="0" applyBorder="0" applyAlignment="0" applyProtection="0"/>
    <xf numFmtId="168" fontId="45" fillId="0" borderId="0" applyNumberFormat="0" applyBorder="0" applyAlignment="0">
      <protection locked="0"/>
    </xf>
    <xf numFmtId="0" fontId="13" fillId="0" borderId="0"/>
    <xf numFmtId="0" fontId="26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180" applyFont="1" applyAlignment="1"/>
    <xf numFmtId="37" fontId="2" fillId="0" borderId="0" xfId="0" applyNumberFormat="1" applyFont="1" applyProtection="1"/>
    <xf numFmtId="37" fontId="4" fillId="0" borderId="0" xfId="0" applyNumberFormat="1" applyFont="1" applyProtection="1"/>
    <xf numFmtId="37" fontId="4" fillId="0" borderId="0" xfId="0" applyNumberFormat="1" applyFont="1" applyAlignment="1" applyProtection="1">
      <alignment horizontal="center"/>
    </xf>
    <xf numFmtId="38" fontId="4" fillId="0" borderId="0" xfId="0" applyNumberFormat="1" applyFont="1" applyProtection="1"/>
    <xf numFmtId="37" fontId="5" fillId="0" borderId="0" xfId="0" applyNumberFormat="1" applyFont="1" applyAlignment="1" applyProtection="1">
      <alignment horizontal="center"/>
    </xf>
    <xf numFmtId="38" fontId="6" fillId="0" borderId="0" xfId="0" applyNumberFormat="1" applyFont="1" applyAlignment="1"/>
    <xf numFmtId="38" fontId="6" fillId="0" borderId="0" xfId="0" applyNumberFormat="1" applyFont="1" applyAlignment="1">
      <alignment horizontal="center"/>
    </xf>
    <xf numFmtId="38" fontId="4" fillId="0" borderId="0" xfId="0" applyNumberFormat="1" applyFont="1" applyAlignment="1" applyProtection="1">
      <alignment horizontal="center"/>
    </xf>
    <xf numFmtId="37" fontId="4" fillId="0" borderId="0" xfId="0" quotePrefix="1" applyNumberFormat="1" applyFont="1" applyAlignment="1" applyProtection="1">
      <alignment horizontal="center"/>
    </xf>
    <xf numFmtId="9" fontId="4" fillId="0" borderId="0" xfId="141" applyFont="1" applyProtection="1"/>
    <xf numFmtId="39" fontId="4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 indent="1"/>
    </xf>
    <xf numFmtId="164" fontId="4" fillId="0" borderId="0" xfId="0" applyNumberFormat="1" applyFont="1" applyProtection="1"/>
    <xf numFmtId="37" fontId="4" fillId="0" borderId="0" xfId="0" applyNumberFormat="1" applyFont="1" applyAlignment="1" applyProtection="1">
      <alignment horizontal="left" indent="2"/>
    </xf>
    <xf numFmtId="37" fontId="4" fillId="0" borderId="0" xfId="0" applyNumberFormat="1" applyFont="1" applyAlignment="1" applyProtection="1">
      <alignment horizontal="left" indent="3"/>
    </xf>
    <xf numFmtId="37" fontId="5" fillId="0" borderId="0" xfId="0" applyNumberFormat="1" applyFont="1" applyAlignment="1" applyProtection="1">
      <alignment horizontal="left"/>
    </xf>
    <xf numFmtId="165" fontId="4" fillId="0" borderId="0" xfId="0" applyNumberFormat="1" applyFont="1" applyAlignment="1" applyProtection="1">
      <alignment horizontal="center"/>
    </xf>
    <xf numFmtId="0" fontId="3" fillId="0" borderId="0" xfId="180" applyFont="1" applyAlignment="1">
      <alignment horizontal="center"/>
    </xf>
    <xf numFmtId="37" fontId="4" fillId="0" borderId="0" xfId="0" applyNumberFormat="1" applyFont="1" applyAlignment="1" applyProtection="1">
      <alignment horizontal="left"/>
    </xf>
    <xf numFmtId="39" fontId="0" fillId="0" borderId="0" xfId="0" applyNumberFormat="1"/>
    <xf numFmtId="0" fontId="1" fillId="0" borderId="0" xfId="180" applyFont="1" applyAlignment="1">
      <alignment horizontal="center"/>
    </xf>
    <xf numFmtId="39" fontId="4" fillId="0" borderId="0" xfId="0" applyNumberFormat="1" applyFont="1" applyFill="1" applyAlignment="1" applyProtection="1">
      <alignment horizontal="center"/>
    </xf>
    <xf numFmtId="0" fontId="1" fillId="0" borderId="0" xfId="180" applyFont="1" applyFill="1" applyAlignment="1"/>
    <xf numFmtId="37" fontId="4" fillId="0" borderId="0" xfId="0" applyNumberFormat="1" applyFont="1" applyFill="1" applyProtection="1"/>
    <xf numFmtId="38" fontId="0" fillId="0" borderId="0" xfId="0" quotePrefix="1" applyNumberFormat="1" applyFill="1"/>
    <xf numFmtId="39" fontId="0" fillId="0" borderId="0" xfId="0" quotePrefix="1" applyNumberFormat="1" applyFill="1"/>
    <xf numFmtId="38" fontId="0" fillId="0" borderId="0" xfId="0" applyNumberFormat="1" applyFill="1"/>
    <xf numFmtId="38" fontId="6" fillId="0" borderId="0" xfId="0" applyNumberFormat="1" applyFont="1" applyFill="1" applyAlignment="1"/>
    <xf numFmtId="37" fontId="4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Alignment="1" applyProtection="1">
      <alignment horizontal="center"/>
    </xf>
    <xf numFmtId="38" fontId="4" fillId="0" borderId="0" xfId="0" applyNumberFormat="1" applyFont="1" applyFill="1" applyAlignment="1" applyProtection="1">
      <alignment horizontal="center"/>
    </xf>
    <xf numFmtId="166" fontId="4" fillId="0" borderId="0" xfId="0" applyNumberFormat="1" applyFont="1" applyFill="1" applyProtection="1"/>
    <xf numFmtId="39" fontId="4" fillId="0" borderId="0" xfId="0" applyNumberFormat="1" applyFont="1" applyFill="1" applyProtection="1"/>
    <xf numFmtId="166" fontId="8" fillId="0" borderId="0" xfId="0" applyNumberFormat="1" applyFont="1" applyFill="1" applyProtection="1"/>
    <xf numFmtId="39" fontId="8" fillId="0" borderId="0" xfId="0" applyNumberFormat="1" applyFont="1" applyFill="1" applyProtection="1"/>
    <xf numFmtId="0" fontId="0" fillId="0" borderId="0" xfId="0" applyAlignment="1">
      <alignment horizontal="center"/>
    </xf>
    <xf numFmtId="166" fontId="0" fillId="0" borderId="0" xfId="0" applyNumberFormat="1"/>
    <xf numFmtId="37" fontId="56" fillId="0" borderId="0" xfId="0" quotePrefix="1" applyNumberFormat="1" applyFont="1" applyFill="1" applyAlignment="1">
      <alignment horizontal="center"/>
    </xf>
    <xf numFmtId="38" fontId="8" fillId="0" borderId="0" xfId="0" applyNumberFormat="1" applyFont="1" applyFill="1" applyAlignment="1" applyProtection="1">
      <alignment horizontal="center"/>
    </xf>
    <xf numFmtId="37" fontId="57" fillId="31" borderId="0" xfId="0" applyNumberFormat="1" applyFont="1" applyFill="1" applyProtection="1"/>
    <xf numFmtId="166" fontId="57" fillId="31" borderId="0" xfId="0" applyNumberFormat="1" applyFont="1" applyFill="1" applyProtection="1"/>
    <xf numFmtId="37" fontId="57" fillId="31" borderId="0" xfId="0" applyNumberFormat="1" applyFont="1" applyFill="1" applyAlignment="1" applyProtection="1">
      <alignment horizontal="center"/>
    </xf>
    <xf numFmtId="10" fontId="4" fillId="0" borderId="0" xfId="141" applyNumberFormat="1" applyFont="1" applyProtection="1"/>
    <xf numFmtId="38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 wrapText="1"/>
    </xf>
    <xf numFmtId="37" fontId="7" fillId="0" borderId="0" xfId="0" applyNumberFormat="1" applyFont="1" applyAlignment="1" applyProtection="1">
      <alignment horizontal="center"/>
    </xf>
    <xf numFmtId="38" fontId="6" fillId="0" borderId="0" xfId="0" applyNumberFormat="1" applyFont="1" applyFill="1" applyAlignment="1">
      <alignment horizontal="center"/>
    </xf>
    <xf numFmtId="0" fontId="0" fillId="32" borderId="0" xfId="0" applyFill="1"/>
    <xf numFmtId="37" fontId="57" fillId="32" borderId="0" xfId="0" applyNumberFormat="1" applyFont="1" applyFill="1" applyAlignment="1" applyProtection="1">
      <alignment horizontal="center"/>
    </xf>
    <xf numFmtId="166" fontId="57" fillId="32" borderId="0" xfId="0" applyNumberFormat="1" applyFont="1" applyFill="1" applyProtection="1"/>
    <xf numFmtId="39" fontId="4" fillId="32" borderId="0" xfId="0" applyNumberFormat="1" applyFont="1" applyFill="1" applyProtection="1"/>
    <xf numFmtId="166" fontId="4" fillId="32" borderId="0" xfId="0" applyNumberFormat="1" applyFont="1" applyFill="1" applyProtection="1"/>
    <xf numFmtId="38" fontId="4" fillId="32" borderId="0" xfId="0" applyNumberFormat="1" applyFont="1" applyFill="1" applyAlignment="1" applyProtection="1">
      <alignment horizontal="center"/>
    </xf>
    <xf numFmtId="0" fontId="58" fillId="0" borderId="0" xfId="0" applyFont="1" applyAlignment="1">
      <alignment vertical="center"/>
    </xf>
    <xf numFmtId="37" fontId="57" fillId="32" borderId="0" xfId="0" applyNumberFormat="1" applyFont="1" applyFill="1" applyProtection="1"/>
    <xf numFmtId="0" fontId="58" fillId="0" borderId="0" xfId="0" applyFont="1"/>
    <xf numFmtId="39" fontId="57" fillId="31" borderId="0" xfId="0" applyNumberFormat="1" applyFont="1" applyFill="1" applyAlignment="1" applyProtection="1">
      <alignment horizontal="center"/>
    </xf>
    <xf numFmtId="165" fontId="57" fillId="31" borderId="0" xfId="0" applyNumberFormat="1" applyFont="1" applyFill="1" applyAlignment="1" applyProtection="1">
      <alignment horizontal="center"/>
    </xf>
    <xf numFmtId="0" fontId="0" fillId="33" borderId="0" xfId="0" applyFill="1"/>
    <xf numFmtId="37" fontId="57" fillId="33" borderId="0" xfId="0" applyNumberFormat="1" applyFont="1" applyFill="1" applyAlignment="1" applyProtection="1">
      <alignment horizontal="center"/>
    </xf>
    <xf numFmtId="166" fontId="57" fillId="33" borderId="0" xfId="0" applyNumberFormat="1" applyFont="1" applyFill="1" applyProtection="1"/>
    <xf numFmtId="39" fontId="8" fillId="33" borderId="0" xfId="0" applyNumberFormat="1" applyFont="1" applyFill="1" applyProtection="1"/>
    <xf numFmtId="166" fontId="8" fillId="33" borderId="0" xfId="0" applyNumberFormat="1" applyFont="1" applyFill="1" applyProtection="1"/>
    <xf numFmtId="166" fontId="4" fillId="33" borderId="0" xfId="0" applyNumberFormat="1" applyFont="1" applyFill="1" applyProtection="1"/>
    <xf numFmtId="0" fontId="1" fillId="0" borderId="0" xfId="180" applyFont="1" applyFill="1" applyAlignment="1">
      <alignment horizontal="centerContinuous"/>
    </xf>
    <xf numFmtId="0" fontId="0" fillId="0" borderId="0" xfId="0" applyFill="1"/>
    <xf numFmtId="4" fontId="0" fillId="0" borderId="0" xfId="0" applyNumberFormat="1"/>
    <xf numFmtId="39" fontId="59" fillId="0" borderId="0" xfId="0" applyNumberFormat="1" applyFont="1" applyAlignment="1" applyProtection="1">
      <alignment horizontal="center"/>
    </xf>
    <xf numFmtId="165" fontId="59" fillId="0" borderId="0" xfId="0" applyNumberFormat="1" applyFont="1" applyAlignment="1" applyProtection="1">
      <alignment horizontal="center"/>
    </xf>
    <xf numFmtId="0" fontId="1" fillId="0" borderId="0" xfId="180" applyFont="1" applyAlignment="1">
      <alignment horizontal="centerContinuous"/>
    </xf>
    <xf numFmtId="39" fontId="4" fillId="0" borderId="0" xfId="0" applyNumberFormat="1" applyFont="1" applyProtection="1"/>
    <xf numFmtId="0" fontId="3" fillId="0" borderId="0" xfId="180" applyFont="1" applyAlignment="1"/>
    <xf numFmtId="37" fontId="2" fillId="0" borderId="0" xfId="0" applyNumberFormat="1" applyFont="1" applyAlignment="1" applyProtection="1">
      <alignment horizontal="centerContinuous"/>
    </xf>
    <xf numFmtId="171" fontId="0" fillId="0" borderId="0" xfId="0" applyNumberFormat="1"/>
    <xf numFmtId="171" fontId="0" fillId="0" borderId="0" xfId="0" applyNumberFormat="1" applyFill="1"/>
    <xf numFmtId="171" fontId="0" fillId="33" borderId="0" xfId="0" applyNumberFormat="1" applyFill="1"/>
    <xf numFmtId="171" fontId="0" fillId="32" borderId="0" xfId="0" applyNumberFormat="1" applyFill="1"/>
    <xf numFmtId="43" fontId="55" fillId="0" borderId="0" xfId="28" applyFont="1"/>
    <xf numFmtId="0" fontId="3" fillId="0" borderId="0" xfId="180" applyFont="1" applyAlignment="1">
      <alignment horizontal="centerContinuous"/>
    </xf>
    <xf numFmtId="0" fontId="60" fillId="34" borderId="0" xfId="0" applyFont="1" applyFill="1" applyAlignment="1">
      <alignment horizontal="center"/>
    </xf>
    <xf numFmtId="0" fontId="61" fillId="34" borderId="0" xfId="0" applyFont="1" applyFill="1" applyAlignment="1">
      <alignment horizontal="center"/>
    </xf>
    <xf numFmtId="0" fontId="62" fillId="0" borderId="0" xfId="0" quotePrefix="1" applyFont="1"/>
    <xf numFmtId="37" fontId="51" fillId="0" borderId="16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62" fillId="0" borderId="0" xfId="0" quotePrefix="1" applyFont="1" applyAlignment="1">
      <alignment horizontal="left" indent="1"/>
    </xf>
    <xf numFmtId="39" fontId="4" fillId="0" borderId="0" xfId="137" applyNumberFormat="1" applyFont="1" applyAlignment="1" applyProtection="1">
      <alignment horizontal="center"/>
    </xf>
    <xf numFmtId="0" fontId="3" fillId="0" borderId="0" xfId="180" applyFont="1" applyAlignment="1">
      <alignment horizontal="left"/>
    </xf>
    <xf numFmtId="168" fontId="4" fillId="0" borderId="0" xfId="28" applyNumberFormat="1" applyFont="1" applyAlignment="1" applyProtection="1">
      <alignment horizontal="center"/>
    </xf>
    <xf numFmtId="0" fontId="63" fillId="0" borderId="0" xfId="0" applyFont="1"/>
    <xf numFmtId="0" fontId="62" fillId="0" borderId="0" xfId="0" quotePrefix="1" applyFont="1" applyFill="1" applyAlignment="1">
      <alignment horizontal="left" indent="1"/>
    </xf>
    <xf numFmtId="0" fontId="64" fillId="35" borderId="0" xfId="180" applyFont="1" applyFill="1" applyAlignment="1">
      <alignment horizontal="centerContinuous"/>
    </xf>
    <xf numFmtId="0" fontId="60" fillId="34" borderId="0" xfId="0" applyFont="1" applyFill="1" applyAlignment="1"/>
    <xf numFmtId="37" fontId="61" fillId="34" borderId="0" xfId="0" applyNumberFormat="1" applyFont="1" applyFill="1" applyProtection="1"/>
    <xf numFmtId="37" fontId="61" fillId="34" borderId="0" xfId="0" applyNumberFormat="1" applyFont="1" applyFill="1" applyAlignment="1" applyProtection="1">
      <alignment horizontal="center"/>
    </xf>
    <xf numFmtId="37" fontId="61" fillId="34" borderId="0" xfId="0" applyNumberFormat="1" applyFont="1" applyFill="1" applyAlignment="1">
      <alignment horizontal="center"/>
    </xf>
    <xf numFmtId="37" fontId="51" fillId="0" borderId="0" xfId="0" applyNumberFormat="1" applyFont="1" applyAlignment="1" applyProtection="1">
      <alignment horizontal="center"/>
    </xf>
    <xf numFmtId="37" fontId="51" fillId="0" borderId="0" xfId="0" applyNumberFormat="1" applyFont="1" applyProtection="1"/>
    <xf numFmtId="41" fontId="61" fillId="36" borderId="0" xfId="0" applyNumberFormat="1" applyFont="1" applyFill="1" applyAlignment="1" applyProtection="1">
      <alignment horizontal="centerContinuous"/>
    </xf>
    <xf numFmtId="37" fontId="51" fillId="0" borderId="17" xfId="0" applyNumberFormat="1" applyFont="1" applyFill="1" applyBorder="1" applyAlignment="1" applyProtection="1">
      <alignment horizontal="center" vertical="center"/>
    </xf>
    <xf numFmtId="172" fontId="51" fillId="0" borderId="17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2" fontId="0" fillId="33" borderId="0" xfId="0" applyNumberFormat="1" applyFill="1"/>
    <xf numFmtId="2" fontId="0" fillId="32" borderId="0" xfId="0" applyNumberFormat="1" applyFill="1"/>
    <xf numFmtId="41" fontId="65" fillId="0" borderId="0" xfId="137" applyNumberFormat="1" applyFont="1" applyFill="1" applyBorder="1" applyAlignment="1" applyProtection="1"/>
    <xf numFmtId="41" fontId="65" fillId="0" borderId="0" xfId="137" applyNumberFormat="1" applyFont="1" applyFill="1" applyBorder="1" applyAlignment="1" applyProtection="1">
      <alignment horizontal="center"/>
    </xf>
    <xf numFmtId="37" fontId="61" fillId="0" borderId="0" xfId="0" applyNumberFormat="1" applyFont="1" applyFill="1" applyAlignment="1">
      <alignment horizontal="center"/>
    </xf>
    <xf numFmtId="49" fontId="0" fillId="0" borderId="0" xfId="0" applyNumberFormat="1"/>
    <xf numFmtId="37" fontId="51" fillId="37" borderId="18" xfId="134" applyNumberFormat="1" applyFont="1" applyFill="1" applyBorder="1" applyAlignment="1">
      <alignment horizontal="center" vertical="center" wrapText="1"/>
    </xf>
    <xf numFmtId="166" fontId="51" fillId="37" borderId="18" xfId="134" applyNumberFormat="1" applyFont="1" applyFill="1" applyBorder="1" applyAlignment="1">
      <alignment horizontal="center" vertical="center" wrapText="1"/>
    </xf>
    <xf numFmtId="39" fontId="51" fillId="37" borderId="18" xfId="134" applyNumberFormat="1" applyFont="1" applyFill="1" applyBorder="1" applyAlignment="1">
      <alignment horizontal="center" vertical="center" wrapText="1"/>
    </xf>
    <xf numFmtId="170" fontId="51" fillId="37" borderId="18" xfId="141" applyNumberFormat="1" applyFont="1" applyFill="1" applyBorder="1" applyAlignment="1">
      <alignment horizontal="center" vertical="center" wrapText="1"/>
    </xf>
    <xf numFmtId="166" fontId="51" fillId="37" borderId="18" xfId="134" applyNumberFormat="1" applyFont="1" applyFill="1" applyBorder="1" applyAlignment="1">
      <alignment horizontal="right" vertical="center" wrapText="1"/>
    </xf>
    <xf numFmtId="37" fontId="51" fillId="37" borderId="18" xfId="134" applyNumberFormat="1" applyFont="1" applyFill="1" applyBorder="1" applyAlignment="1">
      <alignment horizontal="right" vertical="center" wrapText="1"/>
    </xf>
    <xf numFmtId="39" fontId="51" fillId="37" borderId="18" xfId="134" applyNumberFormat="1" applyFont="1" applyFill="1" applyBorder="1" applyAlignment="1">
      <alignment horizontal="right" vertical="center" wrapText="1"/>
    </xf>
    <xf numFmtId="38" fontId="4" fillId="38" borderId="0" xfId="0" applyNumberFormat="1" applyFont="1" applyFill="1" applyAlignment="1" applyProtection="1">
      <alignment horizontal="center"/>
    </xf>
    <xf numFmtId="166" fontId="4" fillId="38" borderId="0" xfId="0" applyNumberFormat="1" applyFont="1" applyFill="1" applyAlignment="1" applyProtection="1">
      <alignment horizontal="right"/>
    </xf>
    <xf numFmtId="37" fontId="4" fillId="38" borderId="0" xfId="0" applyNumberFormat="1" applyFont="1" applyFill="1" applyAlignment="1" applyProtection="1">
      <alignment horizontal="right"/>
    </xf>
    <xf numFmtId="39" fontId="4" fillId="38" borderId="0" xfId="0" applyNumberFormat="1" applyFont="1" applyFill="1" applyAlignment="1" applyProtection="1">
      <alignment horizontal="right"/>
    </xf>
    <xf numFmtId="7" fontId="0" fillId="0" borderId="0" xfId="0" applyNumberFormat="1"/>
    <xf numFmtId="167" fontId="0" fillId="0" borderId="0" xfId="0" applyNumberFormat="1"/>
    <xf numFmtId="0" fontId="66" fillId="39" borderId="0" xfId="180" applyFont="1" applyFill="1" applyAlignment="1">
      <alignment horizontal="centerContinuous"/>
    </xf>
    <xf numFmtId="37" fontId="61" fillId="40" borderId="0" xfId="0" applyNumberFormat="1" applyFont="1" applyFill="1" applyAlignment="1" applyProtection="1">
      <alignment horizontal="centerContinuous"/>
    </xf>
    <xf numFmtId="37" fontId="67" fillId="40" borderId="0" xfId="0" applyNumberFormat="1" applyFont="1" applyFill="1" applyAlignment="1" applyProtection="1">
      <alignment horizontal="centerContinuous"/>
    </xf>
    <xf numFmtId="0" fontId="60" fillId="40" borderId="0" xfId="0" applyFont="1" applyFill="1" applyAlignment="1">
      <alignment horizontal="centerContinuous"/>
    </xf>
    <xf numFmtId="0" fontId="61" fillId="40" borderId="0" xfId="0" applyFont="1" applyFill="1" applyAlignment="1">
      <alignment horizontal="center"/>
    </xf>
    <xf numFmtId="0" fontId="61" fillId="40" borderId="0" xfId="0" applyNumberFormat="1" applyFont="1" applyFill="1" applyAlignment="1" applyProtection="1">
      <alignment horizontal="center"/>
    </xf>
    <xf numFmtId="0" fontId="60" fillId="40" borderId="0" xfId="0" applyFont="1" applyFill="1" applyAlignment="1">
      <alignment horizontal="center"/>
    </xf>
    <xf numFmtId="0" fontId="60" fillId="40" borderId="0" xfId="0" applyNumberFormat="1" applyFont="1" applyFill="1" applyAlignment="1" applyProtection="1">
      <alignment horizontal="center"/>
    </xf>
    <xf numFmtId="0" fontId="60" fillId="40" borderId="0" xfId="0" applyNumberFormat="1" applyFont="1" applyFill="1" applyAlignment="1" applyProtection="1">
      <alignment horizontal="centerContinuous"/>
    </xf>
    <xf numFmtId="0" fontId="64" fillId="0" borderId="0" xfId="180" applyFont="1" applyFill="1" applyAlignment="1">
      <alignment horizontal="centerContinuous"/>
    </xf>
    <xf numFmtId="0" fontId="0" fillId="37" borderId="0" xfId="0" applyFill="1" applyBorder="1"/>
    <xf numFmtId="0" fontId="68" fillId="41" borderId="12" xfId="86" applyFont="1" applyFill="1" applyBorder="1" applyAlignment="1" applyProtection="1">
      <alignment horizontal="center"/>
    </xf>
    <xf numFmtId="9" fontId="4" fillId="0" borderId="0" xfId="141" quotePrefix="1" applyFont="1" applyProtection="1"/>
    <xf numFmtId="14" fontId="69" fillId="31" borderId="0" xfId="0" applyNumberFormat="1" applyFont="1" applyFill="1"/>
    <xf numFmtId="172" fontId="0" fillId="0" borderId="0" xfId="0" applyNumberFormat="1"/>
    <xf numFmtId="37" fontId="51" fillId="0" borderId="0" xfId="0" applyNumberFormat="1" applyFont="1" applyFill="1" applyProtection="1"/>
    <xf numFmtId="0" fontId="70" fillId="0" borderId="0" xfId="0" quotePrefix="1" applyFont="1"/>
    <xf numFmtId="0" fontId="70" fillId="0" borderId="0" xfId="0" applyFont="1"/>
    <xf numFmtId="37" fontId="51" fillId="37" borderId="19" xfId="134" applyNumberFormat="1" applyFont="1" applyFill="1" applyBorder="1" applyAlignment="1">
      <alignment horizontal="center" vertical="center" wrapText="1"/>
    </xf>
    <xf numFmtId="166" fontId="51" fillId="37" borderId="19" xfId="134" applyNumberFormat="1" applyFont="1" applyFill="1" applyBorder="1" applyAlignment="1">
      <alignment horizontal="center" vertical="center" wrapText="1"/>
    </xf>
    <xf numFmtId="39" fontId="51" fillId="37" borderId="19" xfId="134" applyNumberFormat="1" applyFont="1" applyFill="1" applyBorder="1" applyAlignment="1">
      <alignment horizontal="center" vertical="center" wrapText="1"/>
    </xf>
    <xf numFmtId="170" fontId="51" fillId="37" borderId="19" xfId="141" applyNumberFormat="1" applyFont="1" applyFill="1" applyBorder="1" applyAlignment="1">
      <alignment horizontal="center" vertical="center" wrapText="1"/>
    </xf>
    <xf numFmtId="37" fontId="51" fillId="37" borderId="20" xfId="134" applyNumberFormat="1" applyFont="1" applyFill="1" applyBorder="1" applyAlignment="1">
      <alignment horizontal="center" vertical="center" wrapText="1"/>
    </xf>
    <xf numFmtId="166" fontId="51" fillId="37" borderId="20" xfId="134" applyNumberFormat="1" applyFont="1" applyFill="1" applyBorder="1" applyAlignment="1">
      <alignment horizontal="center" vertical="center" wrapText="1"/>
    </xf>
    <xf numFmtId="39" fontId="51" fillId="37" borderId="20" xfId="134" applyNumberFormat="1" applyFont="1" applyFill="1" applyBorder="1" applyAlignment="1">
      <alignment horizontal="center" vertical="center" wrapText="1"/>
    </xf>
    <xf numFmtId="170" fontId="51" fillId="37" borderId="20" xfId="141" applyNumberFormat="1" applyFont="1" applyFill="1" applyBorder="1" applyAlignment="1">
      <alignment horizontal="center" vertical="center" wrapText="1"/>
    </xf>
    <xf numFmtId="37" fontId="51" fillId="37" borderId="21" xfId="134" applyNumberFormat="1" applyFont="1" applyFill="1" applyBorder="1" applyAlignment="1">
      <alignment horizontal="center" vertical="center" wrapText="1"/>
    </xf>
    <xf numFmtId="166" fontId="51" fillId="37" borderId="21" xfId="134" applyNumberFormat="1" applyFont="1" applyFill="1" applyBorder="1" applyAlignment="1">
      <alignment horizontal="center" vertical="center" wrapText="1"/>
    </xf>
    <xf numFmtId="39" fontId="51" fillId="37" borderId="21" xfId="134" applyNumberFormat="1" applyFont="1" applyFill="1" applyBorder="1" applyAlignment="1">
      <alignment horizontal="center" vertical="center" wrapText="1"/>
    </xf>
    <xf numFmtId="170" fontId="51" fillId="37" borderId="21" xfId="141" applyNumberFormat="1" applyFont="1" applyFill="1" applyBorder="1" applyAlignment="1">
      <alignment horizontal="center" vertical="center" wrapText="1"/>
    </xf>
    <xf numFmtId="0" fontId="71" fillId="0" borderId="0" xfId="0" quotePrefix="1" applyFont="1" applyFill="1" applyAlignment="1">
      <alignment horizontal="left" indent="1"/>
    </xf>
    <xf numFmtId="37" fontId="51" fillId="37" borderId="22" xfId="134" applyNumberFormat="1" applyFont="1" applyFill="1" applyBorder="1" applyAlignment="1">
      <alignment horizontal="center" vertical="center" wrapText="1"/>
    </xf>
    <xf numFmtId="166" fontId="51" fillId="37" borderId="23" xfId="134" applyNumberFormat="1" applyFont="1" applyFill="1" applyBorder="1" applyAlignment="1">
      <alignment horizontal="center" vertical="center" wrapText="1"/>
    </xf>
    <xf numFmtId="39" fontId="51" fillId="37" borderId="23" xfId="134" applyNumberFormat="1" applyFont="1" applyFill="1" applyBorder="1" applyAlignment="1">
      <alignment horizontal="center" vertical="center" wrapText="1"/>
    </xf>
    <xf numFmtId="170" fontId="51" fillId="37" borderId="24" xfId="141" applyNumberFormat="1" applyFont="1" applyFill="1" applyBorder="1" applyAlignment="1">
      <alignment horizontal="center" vertical="center" wrapText="1"/>
    </xf>
    <xf numFmtId="166" fontId="51" fillId="37" borderId="19" xfId="134" applyNumberFormat="1" applyFont="1" applyFill="1" applyBorder="1" applyAlignment="1">
      <alignment horizontal="right" vertical="center" wrapText="1"/>
    </xf>
    <xf numFmtId="37" fontId="51" fillId="37" borderId="19" xfId="134" applyNumberFormat="1" applyFont="1" applyFill="1" applyBorder="1" applyAlignment="1">
      <alignment horizontal="right" vertical="center" wrapText="1"/>
    </xf>
    <xf numFmtId="39" fontId="51" fillId="37" borderId="19" xfId="134" applyNumberFormat="1" applyFont="1" applyFill="1" applyBorder="1" applyAlignment="1">
      <alignment horizontal="right" vertical="center" wrapText="1"/>
    </xf>
    <xf numFmtId="166" fontId="51" fillId="37" borderId="20" xfId="134" applyNumberFormat="1" applyFont="1" applyFill="1" applyBorder="1" applyAlignment="1">
      <alignment horizontal="right" vertical="center" wrapText="1"/>
    </xf>
    <xf numFmtId="37" fontId="51" fillId="37" borderId="20" xfId="134" applyNumberFormat="1" applyFont="1" applyFill="1" applyBorder="1" applyAlignment="1">
      <alignment horizontal="right" vertical="center" wrapText="1"/>
    </xf>
    <xf numFmtId="39" fontId="51" fillId="37" borderId="20" xfId="134" applyNumberFormat="1" applyFont="1" applyFill="1" applyBorder="1" applyAlignment="1">
      <alignment horizontal="right" vertical="center" wrapText="1"/>
    </xf>
    <xf numFmtId="166" fontId="51" fillId="37" borderId="23" xfId="134" applyNumberFormat="1" applyFont="1" applyFill="1" applyBorder="1" applyAlignment="1">
      <alignment horizontal="right" vertical="center" wrapText="1"/>
    </xf>
    <xf numFmtId="37" fontId="51" fillId="37" borderId="23" xfId="134" applyNumberFormat="1" applyFont="1" applyFill="1" applyBorder="1" applyAlignment="1">
      <alignment horizontal="right" vertical="center" wrapText="1"/>
    </xf>
    <xf numFmtId="39" fontId="51" fillId="37" borderId="23" xfId="134" applyNumberFormat="1" applyFont="1" applyFill="1" applyBorder="1" applyAlignment="1">
      <alignment horizontal="right" vertical="center" wrapText="1"/>
    </xf>
    <xf numFmtId="168" fontId="57" fillId="31" borderId="0" xfId="28" applyNumberFormat="1" applyFont="1" applyFill="1" applyAlignment="1" applyProtection="1">
      <alignment horizontal="center"/>
    </xf>
    <xf numFmtId="0" fontId="70" fillId="0" borderId="0" xfId="0" quotePrefix="1" applyFont="1" applyAlignment="1">
      <alignment horizontal="left" indent="1"/>
    </xf>
    <xf numFmtId="37" fontId="51" fillId="0" borderId="0" xfId="0" applyNumberFormat="1" applyFont="1"/>
    <xf numFmtId="166" fontId="51" fillId="37" borderId="18" xfId="134" applyNumberFormat="1" applyFont="1" applyFill="1" applyBorder="1" applyAlignment="1">
      <alignment horizontal="right" vertical="center" wrapText="1" indent="1"/>
    </xf>
    <xf numFmtId="166" fontId="51" fillId="37" borderId="19" xfId="134" applyNumberFormat="1" applyFont="1" applyFill="1" applyBorder="1" applyAlignment="1">
      <alignment horizontal="right" vertical="center" wrapText="1" indent="1"/>
    </xf>
    <xf numFmtId="166" fontId="51" fillId="37" borderId="24" xfId="134" applyNumberFormat="1" applyFont="1" applyFill="1" applyBorder="1" applyAlignment="1">
      <alignment horizontal="right" vertical="center" wrapText="1" indent="1"/>
    </xf>
    <xf numFmtId="166" fontId="51" fillId="37" borderId="20" xfId="134" applyNumberFormat="1" applyFont="1" applyFill="1" applyBorder="1" applyAlignment="1">
      <alignment horizontal="right" vertical="center" wrapText="1" indent="1"/>
    </xf>
    <xf numFmtId="166" fontId="4" fillId="38" borderId="0" xfId="0" applyNumberFormat="1" applyFont="1" applyFill="1" applyAlignment="1" applyProtection="1">
      <alignment horizontal="right" indent="1"/>
    </xf>
    <xf numFmtId="0" fontId="54" fillId="42" borderId="13" xfId="86" quotePrefix="1" applyFill="1" applyBorder="1" applyAlignment="1" applyProtection="1">
      <alignment horizontal="center"/>
    </xf>
    <xf numFmtId="0" fontId="54" fillId="42" borderId="14" xfId="86" applyFill="1" applyBorder="1" applyAlignment="1" applyProtection="1">
      <alignment horizontal="center"/>
    </xf>
    <xf numFmtId="0" fontId="72" fillId="42" borderId="13" xfId="86" quotePrefix="1" applyFont="1" applyFill="1" applyBorder="1" applyAlignment="1" applyProtection="1">
      <alignment horizontal="center"/>
    </xf>
    <xf numFmtId="0" fontId="72" fillId="42" borderId="14" xfId="86" applyFont="1" applyFill="1" applyBorder="1" applyAlignment="1" applyProtection="1">
      <alignment horizontal="center"/>
    </xf>
    <xf numFmtId="0" fontId="73" fillId="42" borderId="13" xfId="0" applyFont="1" applyFill="1" applyBorder="1" applyAlignment="1">
      <alignment horizontal="center"/>
    </xf>
    <xf numFmtId="0" fontId="73" fillId="42" borderId="15" xfId="0" applyFont="1" applyFill="1" applyBorder="1" applyAlignment="1">
      <alignment horizontal="center"/>
    </xf>
    <xf numFmtId="0" fontId="73" fillId="42" borderId="14" xfId="0" applyFont="1" applyFill="1" applyBorder="1" applyAlignment="1">
      <alignment horizontal="center"/>
    </xf>
    <xf numFmtId="0" fontId="74" fillId="37" borderId="0" xfId="0" applyFont="1" applyFill="1" applyBorder="1" applyAlignment="1">
      <alignment horizontal="center"/>
    </xf>
    <xf numFmtId="0" fontId="1" fillId="0" borderId="0" xfId="180" applyFont="1" applyAlignment="1">
      <alignment horizontal="center"/>
    </xf>
    <xf numFmtId="0" fontId="3" fillId="0" borderId="0" xfId="180" applyFont="1" applyAlignment="1">
      <alignment horizontal="center"/>
    </xf>
    <xf numFmtId="0" fontId="64" fillId="35" borderId="0" xfId="180" applyFont="1" applyFill="1" applyAlignment="1">
      <alignment horizontal="center"/>
    </xf>
    <xf numFmtId="38" fontId="6" fillId="0" borderId="0" xfId="0" applyNumberFormat="1" applyFont="1" applyFill="1" applyAlignment="1">
      <alignment horizontal="center"/>
    </xf>
    <xf numFmtId="0" fontId="1" fillId="0" borderId="0" xfId="180" applyFont="1" applyFill="1" applyAlignment="1">
      <alignment horizontal="center"/>
    </xf>
  </cellXfs>
  <cellStyles count="18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[0] 2 2" xfId="30" xr:uid="{00000000-0005-0000-0000-00001D000000}"/>
    <cellStyle name="Comma [0] 3" xfId="31" xr:uid="{00000000-0005-0000-0000-00001E000000}"/>
    <cellStyle name="Comma 10" xfId="32" xr:uid="{00000000-0005-0000-0000-00001F000000}"/>
    <cellStyle name="Comma 10 2" xfId="33" xr:uid="{00000000-0005-0000-0000-000020000000}"/>
    <cellStyle name="Comma 10 3" xfId="34" xr:uid="{00000000-0005-0000-0000-000021000000}"/>
    <cellStyle name="Comma 11" xfId="35" xr:uid="{00000000-0005-0000-0000-000022000000}"/>
    <cellStyle name="Comma 12" xfId="36" xr:uid="{00000000-0005-0000-0000-000023000000}"/>
    <cellStyle name="Comma 13" xfId="37" xr:uid="{00000000-0005-0000-0000-000024000000}"/>
    <cellStyle name="Comma 14" xfId="38" xr:uid="{00000000-0005-0000-0000-000025000000}"/>
    <cellStyle name="Comma 15" xfId="39" xr:uid="{00000000-0005-0000-0000-000026000000}"/>
    <cellStyle name="Comma 16" xfId="40" xr:uid="{00000000-0005-0000-0000-000027000000}"/>
    <cellStyle name="Comma 17" xfId="41" xr:uid="{00000000-0005-0000-0000-000028000000}"/>
    <cellStyle name="Comma 18" xfId="42" xr:uid="{00000000-0005-0000-0000-000029000000}"/>
    <cellStyle name="Comma 19" xfId="43" xr:uid="{00000000-0005-0000-0000-00002A000000}"/>
    <cellStyle name="Comma 2" xfId="44" xr:uid="{00000000-0005-0000-0000-00002B000000}"/>
    <cellStyle name="Comma 2 2" xfId="45" xr:uid="{00000000-0005-0000-0000-00002C000000}"/>
    <cellStyle name="Comma 2 3" xfId="46" xr:uid="{00000000-0005-0000-0000-00002D000000}"/>
    <cellStyle name="Comma 2 4" xfId="47" xr:uid="{00000000-0005-0000-0000-00002E000000}"/>
    <cellStyle name="Comma 3" xfId="48" xr:uid="{00000000-0005-0000-0000-00002F000000}"/>
    <cellStyle name="Comma 4" xfId="49" xr:uid="{00000000-0005-0000-0000-000030000000}"/>
    <cellStyle name="Comma 5" xfId="50" xr:uid="{00000000-0005-0000-0000-000031000000}"/>
    <cellStyle name="Comma 5 2" xfId="51" xr:uid="{00000000-0005-0000-0000-000032000000}"/>
    <cellStyle name="Comma 6" xfId="52" xr:uid="{00000000-0005-0000-0000-000033000000}"/>
    <cellStyle name="Comma 7" xfId="53" xr:uid="{00000000-0005-0000-0000-000034000000}"/>
    <cellStyle name="Comma 8" xfId="54" xr:uid="{00000000-0005-0000-0000-000035000000}"/>
    <cellStyle name="Comma 9" xfId="55" xr:uid="{00000000-0005-0000-0000-000036000000}"/>
    <cellStyle name="Comma0" xfId="56" xr:uid="{00000000-0005-0000-0000-000037000000}"/>
    <cellStyle name="Currency [0] 2" xfId="57" xr:uid="{00000000-0005-0000-0000-000038000000}"/>
    <cellStyle name="Currency [0] 2 2" xfId="58" xr:uid="{00000000-0005-0000-0000-000039000000}"/>
    <cellStyle name="Currency [0] 3" xfId="59" xr:uid="{00000000-0005-0000-0000-00003A000000}"/>
    <cellStyle name="Currency 10" xfId="60" xr:uid="{00000000-0005-0000-0000-00003B000000}"/>
    <cellStyle name="Currency 11" xfId="61" xr:uid="{00000000-0005-0000-0000-00003C000000}"/>
    <cellStyle name="Currency 12" xfId="62" xr:uid="{00000000-0005-0000-0000-00003D000000}"/>
    <cellStyle name="Currency 13" xfId="63" xr:uid="{00000000-0005-0000-0000-00003E000000}"/>
    <cellStyle name="Currency 2" xfId="64" xr:uid="{00000000-0005-0000-0000-00003F000000}"/>
    <cellStyle name="Currency 2 2" xfId="65" xr:uid="{00000000-0005-0000-0000-000040000000}"/>
    <cellStyle name="Currency 3" xfId="66" xr:uid="{00000000-0005-0000-0000-000041000000}"/>
    <cellStyle name="Currency 4" xfId="67" xr:uid="{00000000-0005-0000-0000-000042000000}"/>
    <cellStyle name="Currency 5" xfId="68" xr:uid="{00000000-0005-0000-0000-000043000000}"/>
    <cellStyle name="Currency 5 2" xfId="69" xr:uid="{00000000-0005-0000-0000-000044000000}"/>
    <cellStyle name="Currency 6" xfId="70" xr:uid="{00000000-0005-0000-0000-000045000000}"/>
    <cellStyle name="Currency 7" xfId="71" xr:uid="{00000000-0005-0000-0000-000046000000}"/>
    <cellStyle name="Currency 8" xfId="72" xr:uid="{00000000-0005-0000-0000-000047000000}"/>
    <cellStyle name="Currency 9" xfId="73" xr:uid="{00000000-0005-0000-0000-000048000000}"/>
    <cellStyle name="Currency0" xfId="74" xr:uid="{00000000-0005-0000-0000-000049000000}"/>
    <cellStyle name="Date" xfId="75" xr:uid="{00000000-0005-0000-0000-00004A000000}"/>
    <cellStyle name="Explanatory Text 2" xfId="76" xr:uid="{00000000-0005-0000-0000-00004B000000}"/>
    <cellStyle name="Fixed" xfId="77" xr:uid="{00000000-0005-0000-0000-00004C000000}"/>
    <cellStyle name="Good 2" xfId="78" xr:uid="{00000000-0005-0000-0000-00004D000000}"/>
    <cellStyle name="Heading 1 2" xfId="79" xr:uid="{00000000-0005-0000-0000-00004E000000}"/>
    <cellStyle name="Heading 2 2" xfId="80" xr:uid="{00000000-0005-0000-0000-00004F000000}"/>
    <cellStyle name="Heading 3 2" xfId="81" xr:uid="{00000000-0005-0000-0000-000050000000}"/>
    <cellStyle name="Heading 4 2" xfId="82" xr:uid="{00000000-0005-0000-0000-000051000000}"/>
    <cellStyle name="Headings" xfId="83" xr:uid="{00000000-0005-0000-0000-000052000000}"/>
    <cellStyle name="Hidden" xfId="84" xr:uid="{00000000-0005-0000-0000-000053000000}"/>
    <cellStyle name="Hidden 2" xfId="85" xr:uid="{00000000-0005-0000-0000-000054000000}"/>
    <cellStyle name="Hyperlink" xfId="86" builtinId="8"/>
    <cellStyle name="IncomeChartSubtitle" xfId="87" xr:uid="{00000000-0005-0000-0000-000056000000}"/>
    <cellStyle name="Input 2" xfId="88" xr:uid="{00000000-0005-0000-0000-000057000000}"/>
    <cellStyle name="Input 2 2" xfId="89" xr:uid="{00000000-0005-0000-0000-000058000000}"/>
    <cellStyle name="Input 3" xfId="90" xr:uid="{00000000-0005-0000-0000-000059000000}"/>
    <cellStyle name="Input 4" xfId="91" xr:uid="{00000000-0005-0000-0000-00005A000000}"/>
    <cellStyle name="Input 5" xfId="92" xr:uid="{00000000-0005-0000-0000-00005B000000}"/>
    <cellStyle name="Linked Cell 2" xfId="93" xr:uid="{00000000-0005-0000-0000-00005C000000}"/>
    <cellStyle name="Linked Data" xfId="94" xr:uid="{00000000-0005-0000-0000-00005D000000}"/>
    <cellStyle name="Linked Data 2" xfId="95" xr:uid="{00000000-0005-0000-0000-00005E000000}"/>
    <cellStyle name="Linked Data 2 2" xfId="96" xr:uid="{00000000-0005-0000-0000-00005F000000}"/>
    <cellStyle name="Linked Data 3" xfId="97" xr:uid="{00000000-0005-0000-0000-000060000000}"/>
    <cellStyle name="Linked Data 4" xfId="98" xr:uid="{00000000-0005-0000-0000-000061000000}"/>
    <cellStyle name="Model Formula Ref Another Tab" xfId="99" xr:uid="{00000000-0005-0000-0000-000062000000}"/>
    <cellStyle name="Model Formula Ref Another Tab 2" xfId="100" xr:uid="{00000000-0005-0000-0000-000063000000}"/>
    <cellStyle name="Model Formula Ref Another Tab_Reading Rate Model v10.4" xfId="101" xr:uid="{00000000-0005-0000-0000-000064000000}"/>
    <cellStyle name="Model Formula Ref Only Within Tab" xfId="102" xr:uid="{00000000-0005-0000-0000-000065000000}"/>
    <cellStyle name="Model Formula Ref Only Within Tab 2" xfId="103" xr:uid="{00000000-0005-0000-0000-000066000000}"/>
    <cellStyle name="Model Formula Ref Only Within Tab_Reading Rate Model v10.4" xfId="104" xr:uid="{00000000-0005-0000-0000-000067000000}"/>
    <cellStyle name="Model Heading" xfId="105" xr:uid="{00000000-0005-0000-0000-000068000000}"/>
    <cellStyle name="Model Input" xfId="106" xr:uid="{00000000-0005-0000-0000-000069000000}"/>
    <cellStyle name="Model Input 2" xfId="107" xr:uid="{00000000-0005-0000-0000-00006A000000}"/>
    <cellStyle name="Model Input 3" xfId="108" xr:uid="{00000000-0005-0000-0000-00006B000000}"/>
    <cellStyle name="Model Input_Reading Rate Model v10.4" xfId="109" xr:uid="{00000000-0005-0000-0000-00006C000000}"/>
    <cellStyle name="Model List" xfId="110" xr:uid="{00000000-0005-0000-0000-00006D000000}"/>
    <cellStyle name="Model Sub Heading" xfId="111" xr:uid="{00000000-0005-0000-0000-00006E000000}"/>
    <cellStyle name="Model Sub Heading 2" xfId="112" xr:uid="{00000000-0005-0000-0000-00006F000000}"/>
    <cellStyle name="Model Sub Heading 2 2" xfId="113" xr:uid="{00000000-0005-0000-0000-000070000000}"/>
    <cellStyle name="Net Number" xfId="114" xr:uid="{00000000-0005-0000-0000-000071000000}"/>
    <cellStyle name="Net Number 2" xfId="115" xr:uid="{00000000-0005-0000-0000-000072000000}"/>
    <cellStyle name="Net Number 2 2" xfId="116" xr:uid="{00000000-0005-0000-0000-000073000000}"/>
    <cellStyle name="Net Number 3" xfId="117" xr:uid="{00000000-0005-0000-0000-000074000000}"/>
    <cellStyle name="Net Number 4" xfId="118" xr:uid="{00000000-0005-0000-0000-000075000000}"/>
    <cellStyle name="Neutral 2" xfId="119" xr:uid="{00000000-0005-0000-0000-000076000000}"/>
    <cellStyle name="Normal" xfId="0" builtinId="0"/>
    <cellStyle name="Normal 10" xfId="120" xr:uid="{00000000-0005-0000-0000-000078000000}"/>
    <cellStyle name="Normal 10 9 2" xfId="121" xr:uid="{00000000-0005-0000-0000-000079000000}"/>
    <cellStyle name="Normal 11" xfId="122" xr:uid="{00000000-0005-0000-0000-00007A000000}"/>
    <cellStyle name="Normal 12" xfId="123" xr:uid="{00000000-0005-0000-0000-00007B000000}"/>
    <cellStyle name="Normal 132" xfId="124" xr:uid="{00000000-0005-0000-0000-00007C000000}"/>
    <cellStyle name="Normal 2" xfId="125" xr:uid="{00000000-0005-0000-0000-00007D000000}"/>
    <cellStyle name="Normal 2 2" xfId="126" xr:uid="{00000000-0005-0000-0000-00007E000000}"/>
    <cellStyle name="Normal 3" xfId="127" xr:uid="{00000000-0005-0000-0000-00007F000000}"/>
    <cellStyle name="Normal 335" xfId="128" xr:uid="{00000000-0005-0000-0000-000080000000}"/>
    <cellStyle name="Normal 336" xfId="129" xr:uid="{00000000-0005-0000-0000-000081000000}"/>
    <cellStyle name="Normal 371" xfId="130" xr:uid="{00000000-0005-0000-0000-000082000000}"/>
    <cellStyle name="Normal 371 2" xfId="131" xr:uid="{00000000-0005-0000-0000-000083000000}"/>
    <cellStyle name="Normal 4" xfId="132" xr:uid="{00000000-0005-0000-0000-000084000000}"/>
    <cellStyle name="Normal 5" xfId="133" xr:uid="{00000000-0005-0000-0000-000085000000}"/>
    <cellStyle name="Normal 6" xfId="134" xr:uid="{00000000-0005-0000-0000-000086000000}"/>
    <cellStyle name="Normal 7" xfId="135" xr:uid="{00000000-0005-0000-0000-000087000000}"/>
    <cellStyle name="Normal 7 3" xfId="136" xr:uid="{00000000-0005-0000-0000-000088000000}"/>
    <cellStyle name="Normal 8" xfId="137" xr:uid="{00000000-0005-0000-0000-000089000000}"/>
    <cellStyle name="Normal 9" xfId="138" xr:uid="{00000000-0005-0000-0000-00008A000000}"/>
    <cellStyle name="Note 2" xfId="139" xr:uid="{00000000-0005-0000-0000-00008B000000}"/>
    <cellStyle name="Output 2" xfId="140" xr:uid="{00000000-0005-0000-0000-00008C000000}"/>
    <cellStyle name="Percent" xfId="141" builtinId="5"/>
    <cellStyle name="Percent 10" xfId="142" xr:uid="{00000000-0005-0000-0000-00008E000000}"/>
    <cellStyle name="Percent 2" xfId="143" xr:uid="{00000000-0005-0000-0000-00008F000000}"/>
    <cellStyle name="Percent 2 2" xfId="144" xr:uid="{00000000-0005-0000-0000-000090000000}"/>
    <cellStyle name="Percent 2 3" xfId="145" xr:uid="{00000000-0005-0000-0000-000091000000}"/>
    <cellStyle name="Percent 2 4" xfId="146" xr:uid="{00000000-0005-0000-0000-000092000000}"/>
    <cellStyle name="Percent 2 5" xfId="147" xr:uid="{00000000-0005-0000-0000-000093000000}"/>
    <cellStyle name="Percent 3" xfId="148" xr:uid="{00000000-0005-0000-0000-000094000000}"/>
    <cellStyle name="Percent 3 2" xfId="149" xr:uid="{00000000-0005-0000-0000-000095000000}"/>
    <cellStyle name="Percent 4" xfId="150" xr:uid="{00000000-0005-0000-0000-000096000000}"/>
    <cellStyle name="Percent 4 2" xfId="151" xr:uid="{00000000-0005-0000-0000-000097000000}"/>
    <cellStyle name="Percent 4 3" xfId="152" xr:uid="{00000000-0005-0000-0000-000098000000}"/>
    <cellStyle name="Percent 4 4" xfId="153" xr:uid="{00000000-0005-0000-0000-000099000000}"/>
    <cellStyle name="Percent 5" xfId="154" xr:uid="{00000000-0005-0000-0000-00009A000000}"/>
    <cellStyle name="Percent 5 2" xfId="155" xr:uid="{00000000-0005-0000-0000-00009B000000}"/>
    <cellStyle name="Percent 5 3" xfId="156" xr:uid="{00000000-0005-0000-0000-00009C000000}"/>
    <cellStyle name="Percent 6" xfId="157" xr:uid="{00000000-0005-0000-0000-00009D000000}"/>
    <cellStyle name="Percent 6 2" xfId="158" xr:uid="{00000000-0005-0000-0000-00009E000000}"/>
    <cellStyle name="Percent 7" xfId="159" xr:uid="{00000000-0005-0000-0000-00009F000000}"/>
    <cellStyle name="Percent 8" xfId="160" xr:uid="{00000000-0005-0000-0000-0000A0000000}"/>
    <cellStyle name="Percent 9" xfId="161" xr:uid="{00000000-0005-0000-0000-0000A1000000}"/>
    <cellStyle name="PSChar" xfId="162" xr:uid="{00000000-0005-0000-0000-0000A2000000}"/>
    <cellStyle name="Range Header" xfId="163" xr:uid="{00000000-0005-0000-0000-0000A3000000}"/>
    <cellStyle name="Range Header 2" xfId="164" xr:uid="{00000000-0005-0000-0000-0000A4000000}"/>
    <cellStyle name="Range Header 3" xfId="165" xr:uid="{00000000-0005-0000-0000-0000A5000000}"/>
    <cellStyle name="Range Header 4" xfId="166" xr:uid="{00000000-0005-0000-0000-0000A6000000}"/>
    <cellStyle name="Range Header_DaytonWorkingCopy33" xfId="167" xr:uid="{00000000-0005-0000-0000-0000A7000000}"/>
    <cellStyle name="Reference" xfId="168" xr:uid="{00000000-0005-0000-0000-0000A8000000}"/>
    <cellStyle name="Reference 2" xfId="169" xr:uid="{00000000-0005-0000-0000-0000A9000000}"/>
    <cellStyle name="REVISED" xfId="170" xr:uid="{00000000-0005-0000-0000-0000AA000000}"/>
    <cellStyle name="REVISED 2" xfId="171" xr:uid="{00000000-0005-0000-0000-0000AB000000}"/>
    <cellStyle name="REVISED 3" xfId="172" xr:uid="{00000000-0005-0000-0000-0000AC000000}"/>
    <cellStyle name="STYL1 - Style1" xfId="173" xr:uid="{00000000-0005-0000-0000-0000AD000000}"/>
    <cellStyle name="STYL2 - Style2" xfId="174" xr:uid="{00000000-0005-0000-0000-0000AE000000}"/>
    <cellStyle name="STYL3 - Style3" xfId="175" xr:uid="{00000000-0005-0000-0000-0000AF000000}"/>
    <cellStyle name="STYL4 - Style4" xfId="176" xr:uid="{00000000-0005-0000-0000-0000B0000000}"/>
    <cellStyle name="STYL5 - Style5" xfId="177" xr:uid="{00000000-0005-0000-0000-0000B1000000}"/>
    <cellStyle name="Title 2" xfId="178" xr:uid="{00000000-0005-0000-0000-0000B2000000}"/>
    <cellStyle name="Title 3" xfId="179" xr:uid="{00000000-0005-0000-0000-0000B3000000}"/>
    <cellStyle name="Titles" xfId="180" xr:uid="{00000000-0005-0000-0000-0000B4000000}"/>
    <cellStyle name="Total 2" xfId="181" xr:uid="{00000000-0005-0000-0000-0000B5000000}"/>
    <cellStyle name="Unprotected" xfId="182" xr:uid="{00000000-0005-0000-0000-0000B6000000}"/>
    <cellStyle name="Version" xfId="183" xr:uid="{00000000-0005-0000-0000-0000B7000000}"/>
    <cellStyle name="Warning Text 2" xfId="184" xr:uid="{00000000-0005-0000-0000-0000B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546100</xdr:colOff>
      <xdr:row>5</xdr:row>
      <xdr:rowOff>19050</xdr:rowOff>
    </xdr:to>
    <xdr:pic>
      <xdr:nvPicPr>
        <xdr:cNvPr id="19580" name="Picture 1" descr="image001">
          <a:extLst>
            <a:ext uri="{FF2B5EF4-FFF2-40B4-BE49-F238E27FC236}">
              <a16:creationId xmlns:a16="http://schemas.microsoft.com/office/drawing/2014/main" id="{CC9C51E2-DBF2-46D8-89C5-6DFB58FD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7800"/>
          <a:ext cx="266700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s94483/AppData/Local/Microsoft/Windows/INetCache/Content.Outlook/QJNVLDFU/PWD%20Misc%20Fee%20Model%202020.12.28-Ve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OH Rate"/>
      <sheetName val="Salary Information"/>
      <sheetName val="Personnel Rates"/>
      <sheetName val="Equipment Rates"/>
      <sheetName val="Material Costs"/>
      <sheetName val="Labor Cost Calc"/>
      <sheetName val="Equipment Cost Calc "/>
      <sheetName val="Material Cost Calc"/>
      <sheetName val="Fee Calc"/>
      <sheetName val="CB_DATA_"/>
      <sheetName val="Existing Fees "/>
      <sheetName val="Proposed Fees"/>
      <sheetName val="Proposed FY 22-23 Fees"/>
      <sheetName val="Proposed FY 22-23 Overtime Fees"/>
      <sheetName val="Hydrant Permit Usage Cost"/>
      <sheetName val="Proposed Fees Comp Benchmarking"/>
      <sheetName val="Benchmarking"/>
      <sheetName val="Activity Volume"/>
      <sheetName val="Summary"/>
    </sheetNames>
    <sheetDataSet>
      <sheetData sheetId="0">
        <row r="2">
          <cell r="C2" t="str">
            <v>Philadelphia Water Department</v>
          </cell>
        </row>
        <row r="4">
          <cell r="C4" t="str">
            <v>Miscellaneous Fees &amp; Charges Model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8"/>
  <sheetViews>
    <sheetView tabSelected="1" zoomScaleNormal="100" workbookViewId="0">
      <selection activeCell="B16" sqref="B16:C16"/>
    </sheetView>
  </sheetViews>
  <sheetFormatPr defaultRowHeight="14"/>
  <cols>
    <col min="2" max="3" width="15.1796875" customWidth="1"/>
    <col min="5" max="10" width="12.7265625" customWidth="1"/>
    <col min="11" max="11" width="2.54296875" customWidth="1"/>
    <col min="13" max="13" width="13.1796875" bestFit="1" customWidth="1"/>
    <col min="14" max="14" width="9.81640625" bestFit="1" customWidth="1"/>
  </cols>
  <sheetData>
    <row r="1" spans="1:14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4" ht="20">
      <c r="A3" s="133"/>
      <c r="B3" s="133"/>
      <c r="C3" s="133"/>
      <c r="D3" s="133"/>
      <c r="E3" s="182" t="s">
        <v>111</v>
      </c>
      <c r="F3" s="182"/>
      <c r="G3" s="182"/>
      <c r="H3" s="182"/>
      <c r="I3" s="182"/>
      <c r="J3" s="182"/>
      <c r="K3" s="133"/>
      <c r="M3" t="s">
        <v>133</v>
      </c>
      <c r="N3" s="136">
        <v>44610</v>
      </c>
    </row>
    <row r="4" spans="1:14" ht="20">
      <c r="A4" s="133"/>
      <c r="B4" s="133"/>
      <c r="C4" s="133"/>
      <c r="D4" s="133"/>
      <c r="E4" s="182" t="s">
        <v>152</v>
      </c>
      <c r="F4" s="182"/>
      <c r="G4" s="182"/>
      <c r="H4" s="182"/>
      <c r="I4" s="182"/>
      <c r="J4" s="182"/>
      <c r="K4" s="133"/>
    </row>
    <row r="5" spans="1:14" ht="20">
      <c r="A5" s="133"/>
      <c r="B5" s="133"/>
      <c r="C5" s="133"/>
      <c r="D5" s="133"/>
      <c r="E5" s="182"/>
      <c r="F5" s="182"/>
      <c r="G5" s="182"/>
      <c r="H5" s="182"/>
      <c r="I5" s="182"/>
      <c r="J5" s="182"/>
      <c r="K5" s="133"/>
    </row>
    <row r="6" spans="1:14" ht="14.5" thickBo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4" ht="14.5" thickBot="1">
      <c r="A7" s="133"/>
      <c r="B7" s="179" t="s">
        <v>112</v>
      </c>
      <c r="C7" s="180"/>
      <c r="D7" s="180"/>
      <c r="E7" s="180"/>
      <c r="F7" s="180"/>
      <c r="G7" s="180"/>
      <c r="H7" s="180"/>
      <c r="I7" s="180"/>
      <c r="J7" s="181"/>
      <c r="K7" s="133"/>
    </row>
    <row r="8" spans="1:14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4" ht="14.5" thickBo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4" ht="14.5" thickBot="1">
      <c r="A10" s="133"/>
      <c r="B10" s="177" t="s">
        <v>115</v>
      </c>
      <c r="C10" s="178"/>
      <c r="D10" s="133"/>
      <c r="E10" s="133" t="s">
        <v>135</v>
      </c>
      <c r="F10" s="133"/>
      <c r="G10" s="133"/>
      <c r="H10" s="133"/>
      <c r="I10" s="133"/>
      <c r="J10" s="133"/>
      <c r="K10" s="133"/>
    </row>
    <row r="11" spans="1:14" ht="14.5" thickBo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4" ht="14.5" thickBot="1">
      <c r="A12" s="133"/>
      <c r="B12" s="177" t="s">
        <v>114</v>
      </c>
      <c r="C12" s="178"/>
      <c r="D12" s="133"/>
      <c r="E12" s="133" t="s">
        <v>136</v>
      </c>
      <c r="F12" s="133"/>
      <c r="G12" s="133"/>
      <c r="H12" s="133"/>
      <c r="I12" s="133"/>
      <c r="J12" s="133"/>
      <c r="K12" s="133"/>
    </row>
    <row r="13" spans="1:14" ht="14.5" thickBo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4" ht="14.5" thickBot="1">
      <c r="A14" s="133"/>
      <c r="B14" s="177" t="s">
        <v>130</v>
      </c>
      <c r="C14" s="178"/>
      <c r="D14" s="133"/>
      <c r="E14" s="133" t="s">
        <v>113</v>
      </c>
      <c r="F14" s="133"/>
      <c r="G14" s="133"/>
      <c r="H14" s="133"/>
      <c r="I14" s="133"/>
      <c r="J14" s="133"/>
      <c r="K14" s="133"/>
    </row>
    <row r="15" spans="1:14" ht="14.5" thickBot="1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4" ht="14.5" thickBot="1">
      <c r="A16" s="133"/>
      <c r="B16" s="177" t="s">
        <v>134</v>
      </c>
      <c r="C16" s="178"/>
      <c r="D16" s="133"/>
      <c r="E16" s="133" t="s">
        <v>116</v>
      </c>
      <c r="F16" s="133"/>
      <c r="G16" s="133"/>
      <c r="H16" s="133"/>
      <c r="I16" s="133"/>
      <c r="J16" s="133"/>
      <c r="K16" s="133"/>
    </row>
    <row r="17" spans="1:11" ht="14.5" thickBot="1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ht="14.5" thickBot="1">
      <c r="A18" s="133"/>
      <c r="B18" s="177" t="s">
        <v>131</v>
      </c>
      <c r="C18" s="178"/>
      <c r="D18" s="133"/>
      <c r="E18" s="133" t="s">
        <v>137</v>
      </c>
      <c r="F18" s="133"/>
      <c r="G18" s="133"/>
      <c r="H18" s="133"/>
      <c r="I18" s="133"/>
      <c r="J18" s="133"/>
      <c r="K18" s="133"/>
    </row>
    <row r="19" spans="1:11" ht="14.5" thickBot="1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4.5" thickBot="1">
      <c r="A20" s="133"/>
      <c r="B20" s="177" t="s">
        <v>132</v>
      </c>
      <c r="C20" s="178"/>
      <c r="D20" s="133"/>
      <c r="E20" s="133" t="s">
        <v>138</v>
      </c>
      <c r="F20" s="133"/>
      <c r="G20" s="133"/>
      <c r="H20" s="133"/>
      <c r="I20" s="133"/>
      <c r="J20" s="133"/>
      <c r="K20" s="133"/>
    </row>
    <row r="21" spans="1:11" ht="14.5" thickBo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14.5" thickBot="1">
      <c r="A22" s="133"/>
      <c r="B22" s="177" t="s">
        <v>119</v>
      </c>
      <c r="C22" s="178"/>
      <c r="D22" s="133"/>
      <c r="E22" s="133" t="s">
        <v>139</v>
      </c>
      <c r="F22" s="133"/>
      <c r="G22" s="133"/>
      <c r="H22" s="133"/>
      <c r="I22" s="133"/>
      <c r="J22" s="133"/>
      <c r="K22" s="133"/>
    </row>
    <row r="23" spans="1:11" ht="14.5" thickBot="1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4.5" thickBot="1">
      <c r="A24" s="133"/>
      <c r="B24" s="177" t="s">
        <v>118</v>
      </c>
      <c r="C24" s="178"/>
      <c r="D24" s="133"/>
      <c r="E24" s="133" t="s">
        <v>140</v>
      </c>
      <c r="F24" s="133"/>
      <c r="G24" s="133"/>
      <c r="H24" s="133"/>
      <c r="I24" s="133"/>
      <c r="J24" s="133"/>
      <c r="K24" s="133"/>
    </row>
    <row r="25" spans="1:11" ht="14.5" thickBot="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4.5" thickBot="1">
      <c r="A26" s="133"/>
      <c r="B26" s="175" t="s">
        <v>153</v>
      </c>
      <c r="C26" s="176"/>
      <c r="D26" s="133"/>
      <c r="E26" s="133" t="s">
        <v>154</v>
      </c>
      <c r="F26" s="133"/>
      <c r="G26" s="133"/>
      <c r="H26" s="133"/>
      <c r="I26" s="133"/>
      <c r="J26" s="133"/>
      <c r="K26" s="133"/>
    </row>
    <row r="27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  <row r="52" spans="1:11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</row>
    <row r="53" spans="1:11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</row>
    <row r="55" spans="1:1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</row>
  </sheetData>
  <mergeCells count="13">
    <mergeCell ref="B26:C26"/>
    <mergeCell ref="B24:C24"/>
    <mergeCell ref="B7:J7"/>
    <mergeCell ref="E3:J3"/>
    <mergeCell ref="E4:J4"/>
    <mergeCell ref="E5:J5"/>
    <mergeCell ref="B10:C10"/>
    <mergeCell ref="B12:C12"/>
    <mergeCell ref="B14:C14"/>
    <mergeCell ref="B16:C16"/>
    <mergeCell ref="B18:C18"/>
    <mergeCell ref="B20:C20"/>
    <mergeCell ref="B22:C22"/>
  </mergeCells>
  <hyperlinks>
    <hyperlink ref="B10:C10" location="'Wastewater Charges'!A1" display="'Wastewater Charges'!A1" xr:uid="{00000000-0004-0000-0000-000000000000}"/>
    <hyperlink ref="B12:C12" location="'Water Charges'!A1" display="'Water Charges'!A1" xr:uid="{00000000-0004-0000-0000-000001000000}"/>
    <hyperlink ref="B14:C14" location="'Typical Res Bills TOTAL'!A1" display="Typical Res Bill Impacts" xr:uid="{00000000-0004-0000-0000-000002000000}"/>
    <hyperlink ref="B16:C16" location="'Typ Non Res Bill TOTAL PARCEL'!A1" display="Typ Non Res Bill Bill Impact" xr:uid="{00000000-0004-0000-0000-000003000000}"/>
    <hyperlink ref="B18:C18" location="'Typical Bills WATER'!A1" display="Typical Bills Water" xr:uid="{00000000-0004-0000-0000-000004000000}"/>
    <hyperlink ref="B20:C20" location="'Typical Bills SANITARY'!A1" display="Typical Bills Sanitary" xr:uid="{00000000-0004-0000-0000-000005000000}"/>
    <hyperlink ref="B22:C22" location="'Typical Res Bills SW'!A1" display="'Typical Res Bills SW'!A1" xr:uid="{00000000-0004-0000-0000-000006000000}"/>
    <hyperlink ref="B24:C24" location="'Typical Non-Res Bills SW'!A1" display="'Typical Non-Res Bills SW'!A1" xr:uid="{00000000-0004-0000-0000-000007000000}"/>
    <hyperlink ref="B26:C26" location="Inputs!A1" display="Inputs" xr:uid="{00000000-0004-0000-0000-000008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E9"/>
  <sheetViews>
    <sheetView workbookViewId="0"/>
  </sheetViews>
  <sheetFormatPr defaultRowHeight="14"/>
  <cols>
    <col min="2" max="2" width="19.08984375" bestFit="1" customWidth="1"/>
    <col min="3" max="3" width="16.26953125" customWidth="1"/>
    <col min="4" max="5" width="16.453125" bestFit="1" customWidth="1"/>
    <col min="6" max="6" width="13.54296875" customWidth="1"/>
  </cols>
  <sheetData>
    <row r="1" spans="1:5" ht="14.5" thickBot="1">
      <c r="A1" s="134" t="s">
        <v>127</v>
      </c>
    </row>
    <row r="3" spans="1:5">
      <c r="C3" t="s">
        <v>84</v>
      </c>
      <c r="D3" t="s">
        <v>85</v>
      </c>
      <c r="E3" t="s">
        <v>86</v>
      </c>
    </row>
    <row r="4" spans="1:5">
      <c r="C4" t="s">
        <v>99</v>
      </c>
      <c r="D4" t="s">
        <v>104</v>
      </c>
      <c r="E4" t="s">
        <v>141</v>
      </c>
    </row>
    <row r="6" spans="1:5">
      <c r="B6" t="s">
        <v>105</v>
      </c>
      <c r="C6" s="109" t="s">
        <v>106</v>
      </c>
      <c r="D6" s="109" t="s">
        <v>107</v>
      </c>
      <c r="E6" s="109" t="s">
        <v>142</v>
      </c>
    </row>
    <row r="9" spans="1:5">
      <c r="B9" t="s">
        <v>155</v>
      </c>
      <c r="C9" t="s">
        <v>156</v>
      </c>
    </row>
  </sheetData>
  <phoneticPr fontId="52" type="noConversion"/>
  <hyperlinks>
    <hyperlink ref="A1" location="TOC!A1" display="TOC!A1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V60"/>
  <sheetViews>
    <sheetView zoomScaleNormal="100" zoomScaleSheetLayoutView="90" workbookViewId="0"/>
  </sheetViews>
  <sheetFormatPr defaultRowHeight="14"/>
  <cols>
    <col min="2" max="2" width="10.81640625" customWidth="1"/>
    <col min="4" max="4" width="11" customWidth="1"/>
    <col min="5" max="6" width="13.81640625" bestFit="1" customWidth="1"/>
    <col min="7" max="9" width="9.1796875" customWidth="1"/>
    <col min="10" max="10" width="12.453125" customWidth="1"/>
    <col min="11" max="11" width="4" customWidth="1"/>
    <col min="12" max="17" width="9.453125" customWidth="1"/>
    <col min="18" max="18" width="13.453125" customWidth="1"/>
    <col min="20" max="20" width="9.1796875" customWidth="1"/>
    <col min="22" max="22" width="9.1796875" customWidth="1"/>
    <col min="24" max="24" width="9.1796875" customWidth="1"/>
    <col min="25" max="25" width="11" customWidth="1"/>
  </cols>
  <sheetData>
    <row r="1" spans="1:48" ht="14.5" thickBot="1">
      <c r="A1" s="134" t="s">
        <v>127</v>
      </c>
    </row>
    <row r="2" spans="1:48" ht="18">
      <c r="B2" s="1"/>
      <c r="C2" s="183" t="s">
        <v>80</v>
      </c>
      <c r="D2" s="183"/>
      <c r="E2" s="183"/>
      <c r="F2" s="183"/>
      <c r="G2" s="183"/>
      <c r="H2" s="71"/>
      <c r="I2" s="71"/>
      <c r="J2" s="22"/>
      <c r="K2" s="22"/>
      <c r="L2" s="71" t="s">
        <v>67</v>
      </c>
      <c r="M2" s="71"/>
      <c r="N2" s="71"/>
      <c r="O2" s="71"/>
      <c r="P2" s="71"/>
      <c r="Q2" s="71"/>
      <c r="S2" s="22"/>
      <c r="T2" s="71" t="s">
        <v>68</v>
      </c>
      <c r="U2" s="71"/>
      <c r="V2" s="71"/>
      <c r="W2" s="71"/>
      <c r="X2" s="71"/>
      <c r="Y2" s="71"/>
    </row>
    <row r="3" spans="1:48" ht="18">
      <c r="B3" s="1"/>
      <c r="C3" s="1"/>
      <c r="D3" s="1"/>
      <c r="E3" s="1"/>
      <c r="F3" s="1"/>
      <c r="G3" s="1"/>
      <c r="H3" s="1"/>
      <c r="I3" s="1"/>
      <c r="J3" s="1"/>
      <c r="K3" s="1"/>
      <c r="L3" s="71"/>
      <c r="M3" s="71"/>
      <c r="N3" s="71"/>
      <c r="O3" s="71"/>
      <c r="P3" s="71"/>
      <c r="Q3" s="1"/>
      <c r="S3" s="1"/>
      <c r="T3" s="71"/>
      <c r="U3" s="71"/>
      <c r="V3" s="71"/>
      <c r="W3" s="71"/>
      <c r="X3" s="71"/>
      <c r="Y3" s="1"/>
    </row>
    <row r="4" spans="1:48" ht="18">
      <c r="B4" s="1"/>
      <c r="C4" s="183" t="s">
        <v>120</v>
      </c>
      <c r="D4" s="183"/>
      <c r="E4" s="183"/>
      <c r="F4" s="183"/>
      <c r="G4" s="183"/>
      <c r="H4" s="71"/>
      <c r="I4" s="71"/>
      <c r="J4" s="71"/>
      <c r="K4" s="22"/>
      <c r="L4" s="71" t="s">
        <v>121</v>
      </c>
      <c r="M4" s="71"/>
      <c r="N4" s="71"/>
      <c r="O4" s="71"/>
      <c r="P4" s="71"/>
      <c r="Q4" s="71"/>
      <c r="S4" s="22"/>
      <c r="T4" s="71" t="s">
        <v>121</v>
      </c>
      <c r="U4" s="71"/>
      <c r="V4" s="71"/>
      <c r="W4" s="71"/>
      <c r="X4" s="71"/>
      <c r="Y4" s="71"/>
    </row>
    <row r="5" spans="1:48" ht="18">
      <c r="B5" s="1"/>
      <c r="C5" s="183" t="s">
        <v>79</v>
      </c>
      <c r="D5" s="183"/>
      <c r="E5" s="183"/>
      <c r="F5" s="183"/>
      <c r="G5" s="183"/>
      <c r="H5" s="71"/>
      <c r="I5" s="71"/>
      <c r="J5" s="71"/>
      <c r="K5" s="22"/>
      <c r="L5" s="71" t="s">
        <v>69</v>
      </c>
      <c r="M5" s="71"/>
      <c r="N5" s="71"/>
      <c r="O5" s="71"/>
      <c r="P5" s="71"/>
      <c r="Q5" s="71"/>
      <c r="S5" s="22"/>
      <c r="T5" s="71" t="s">
        <v>83</v>
      </c>
      <c r="U5" s="71"/>
      <c r="V5" s="71"/>
      <c r="W5" s="71"/>
      <c r="X5" s="71"/>
      <c r="Y5" s="71"/>
    </row>
    <row r="6" spans="1:48" ht="18">
      <c r="B6" s="1"/>
      <c r="C6" s="183" t="s">
        <v>24</v>
      </c>
      <c r="D6" s="183"/>
      <c r="E6" s="183"/>
      <c r="F6" s="183"/>
      <c r="G6" s="183"/>
      <c r="H6" s="71"/>
      <c r="I6" s="71"/>
      <c r="J6" s="22"/>
      <c r="K6" s="22"/>
      <c r="L6" s="183"/>
      <c r="M6" s="183"/>
      <c r="N6" s="183"/>
      <c r="O6" s="183"/>
      <c r="P6" s="22"/>
      <c r="Q6" s="22"/>
      <c r="T6" s="183"/>
      <c r="U6" s="183"/>
      <c r="V6" s="183"/>
      <c r="W6" s="183"/>
      <c r="X6" s="71"/>
    </row>
    <row r="7" spans="1:48" ht="15.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T7" s="74"/>
      <c r="U7" s="74"/>
      <c r="V7" s="74"/>
      <c r="W7" s="74"/>
      <c r="X7" s="74"/>
    </row>
    <row r="8" spans="1:48" ht="15.5">
      <c r="B8" s="73"/>
      <c r="C8" s="184" t="s">
        <v>20</v>
      </c>
      <c r="D8" s="184"/>
      <c r="E8" s="184"/>
      <c r="F8" s="184"/>
      <c r="G8" s="184"/>
      <c r="H8" s="19"/>
      <c r="I8" s="19"/>
      <c r="J8" s="19"/>
      <c r="K8" s="19"/>
      <c r="L8" s="80" t="s">
        <v>82</v>
      </c>
      <c r="M8" s="80"/>
      <c r="N8" s="80"/>
      <c r="O8" s="80"/>
      <c r="P8" s="80"/>
      <c r="Q8" s="80"/>
      <c r="T8" s="80" t="s">
        <v>82</v>
      </c>
      <c r="U8" s="80"/>
      <c r="V8" s="80"/>
      <c r="W8" s="80"/>
      <c r="X8" s="80"/>
      <c r="Y8" s="80"/>
    </row>
    <row r="9" spans="1:48">
      <c r="B9" s="3"/>
      <c r="C9" s="3"/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T9" s="3"/>
      <c r="U9" s="3"/>
      <c r="V9" s="3"/>
      <c r="W9" s="3"/>
      <c r="X9" s="5"/>
    </row>
    <row r="10" spans="1:48">
      <c r="B10" s="4"/>
      <c r="C10" s="4"/>
      <c r="D10" s="3"/>
      <c r="E10" s="4" t="str">
        <f>Inputs!$C$4</f>
        <v>FY 2022</v>
      </c>
      <c r="F10" s="4" t="str">
        <f>Inputs!$D$4</f>
        <v>FY 2023</v>
      </c>
      <c r="G10" s="4"/>
      <c r="H10" s="4"/>
      <c r="I10" s="4"/>
      <c r="J10" s="4"/>
      <c r="K10" s="4"/>
      <c r="L10" s="4"/>
      <c r="M10" s="4"/>
      <c r="N10" s="4" t="str">
        <f>Inputs!$C$4</f>
        <v>FY 2022</v>
      </c>
      <c r="O10" s="4" t="str">
        <f>Inputs!$D$4</f>
        <v>FY 2023</v>
      </c>
      <c r="P10" s="4"/>
      <c r="Q10" s="4"/>
      <c r="T10" s="4"/>
      <c r="U10" s="3"/>
      <c r="V10" s="4" t="str">
        <f>Inputs!$C$4</f>
        <v>FY 2022</v>
      </c>
      <c r="W10" s="4" t="str">
        <f>Inputs!$D$4</f>
        <v>FY 2023</v>
      </c>
      <c r="X10" s="4"/>
    </row>
    <row r="11" spans="1:48">
      <c r="B11" s="4"/>
      <c r="C11" s="4"/>
      <c r="D11" s="3"/>
      <c r="E11" s="4" t="s">
        <v>1</v>
      </c>
      <c r="F11" s="4" t="s">
        <v>1</v>
      </c>
      <c r="G11" s="4"/>
      <c r="H11" s="4"/>
      <c r="I11" s="4"/>
      <c r="J11" s="4"/>
      <c r="K11" s="4"/>
      <c r="L11" s="4"/>
      <c r="M11" s="4"/>
      <c r="N11" s="4" t="s">
        <v>1</v>
      </c>
      <c r="O11" s="4" t="s">
        <v>1</v>
      </c>
      <c r="P11" s="4"/>
      <c r="Q11" s="4"/>
      <c r="T11" s="4"/>
      <c r="U11" s="3"/>
      <c r="V11" s="4" t="s">
        <v>1</v>
      </c>
      <c r="W11" s="4" t="s">
        <v>1</v>
      </c>
      <c r="X11" s="4"/>
    </row>
    <row r="12" spans="1:48" ht="15.5">
      <c r="A12" s="7"/>
      <c r="B12" s="7"/>
      <c r="C12" s="6" t="s">
        <v>2</v>
      </c>
      <c r="D12" s="7"/>
      <c r="E12" s="8" t="s">
        <v>3</v>
      </c>
      <c r="F12" s="8" t="s">
        <v>3</v>
      </c>
      <c r="G12" s="8"/>
      <c r="H12" s="8"/>
      <c r="I12" s="8"/>
      <c r="J12" s="8"/>
      <c r="K12" s="8"/>
      <c r="L12" s="8"/>
      <c r="M12" s="8"/>
      <c r="N12" s="8" t="s">
        <v>3</v>
      </c>
      <c r="O12" s="8" t="s">
        <v>3</v>
      </c>
      <c r="P12" s="8"/>
      <c r="Q12" s="8"/>
      <c r="T12" s="6"/>
      <c r="U12" s="7"/>
      <c r="V12" s="8" t="s">
        <v>3</v>
      </c>
      <c r="W12" s="8" t="s">
        <v>3</v>
      </c>
      <c r="X12" s="8"/>
    </row>
    <row r="13" spans="1:48">
      <c r="A13" s="3"/>
      <c r="B13" s="3"/>
      <c r="C13" s="4" t="s">
        <v>4</v>
      </c>
      <c r="D13" s="3"/>
      <c r="E13" s="4" t="s">
        <v>5</v>
      </c>
      <c r="F13" s="4" t="s">
        <v>5</v>
      </c>
      <c r="G13" s="4"/>
      <c r="H13" s="4"/>
      <c r="I13" s="4"/>
      <c r="J13" s="4"/>
      <c r="K13" s="4"/>
      <c r="L13" s="4"/>
      <c r="M13" s="4"/>
      <c r="N13" s="4" t="s">
        <v>5</v>
      </c>
      <c r="O13" s="4" t="s">
        <v>5</v>
      </c>
      <c r="P13" s="4"/>
      <c r="Q13" s="4"/>
      <c r="T13" s="4"/>
      <c r="U13" s="3"/>
      <c r="V13" s="4" t="s">
        <v>5</v>
      </c>
      <c r="W13" s="4" t="s">
        <v>5</v>
      </c>
      <c r="X13" s="4"/>
    </row>
    <row r="14" spans="1:48">
      <c r="C14" s="3"/>
      <c r="D14" s="3"/>
      <c r="E14" s="3"/>
      <c r="F14" s="3"/>
      <c r="G14" s="9"/>
      <c r="H14" s="9"/>
      <c r="I14" s="9"/>
      <c r="J14" s="9"/>
      <c r="K14" s="9"/>
      <c r="L14" s="4"/>
      <c r="M14" s="3"/>
      <c r="N14" s="3"/>
      <c r="O14" s="3"/>
      <c r="P14" s="9"/>
      <c r="Q14" s="9"/>
      <c r="T14" s="4"/>
      <c r="U14" s="3"/>
      <c r="V14" s="3"/>
      <c r="W14" s="3"/>
      <c r="X14" s="9"/>
    </row>
    <row r="15" spans="1:48">
      <c r="C15" s="10" t="s">
        <v>6</v>
      </c>
      <c r="D15" s="11"/>
      <c r="E15" s="58">
        <v>7.2</v>
      </c>
      <c r="F15" s="58">
        <v>7.54</v>
      </c>
      <c r="G15" s="69"/>
      <c r="H15" s="69"/>
      <c r="I15" s="69"/>
      <c r="J15" s="12"/>
      <c r="K15" s="12"/>
      <c r="L15" s="20" t="s">
        <v>23</v>
      </c>
      <c r="M15" s="11"/>
      <c r="N15" s="58">
        <v>15.04</v>
      </c>
      <c r="O15" s="58">
        <v>16.27</v>
      </c>
      <c r="P15" s="69"/>
      <c r="Q15" s="12"/>
      <c r="T15" s="20" t="s">
        <v>40</v>
      </c>
      <c r="U15" s="11"/>
      <c r="V15" s="58">
        <v>15.04</v>
      </c>
      <c r="W15" s="58">
        <v>16.27</v>
      </c>
      <c r="X15" s="69"/>
      <c r="AB15" s="21"/>
      <c r="AC15" s="21"/>
      <c r="AL15" s="21"/>
      <c r="AM15" s="21"/>
      <c r="AU15" s="21"/>
      <c r="AV15" s="21"/>
    </row>
    <row r="16" spans="1:48">
      <c r="C16" s="10" t="s">
        <v>7</v>
      </c>
      <c r="D16" s="11"/>
      <c r="E16" s="58">
        <v>9.16</v>
      </c>
      <c r="F16" s="58">
        <v>9.6300000000000008</v>
      </c>
      <c r="G16" s="69"/>
      <c r="H16" s="69"/>
      <c r="I16" s="69"/>
      <c r="J16" s="12"/>
      <c r="K16" s="12"/>
      <c r="L16" s="12"/>
      <c r="M16" s="12"/>
      <c r="N16" s="12"/>
      <c r="O16" s="69"/>
      <c r="P16" s="69"/>
      <c r="Q16" s="12"/>
      <c r="T16" s="10"/>
      <c r="U16" s="11"/>
      <c r="V16" s="12"/>
      <c r="W16" s="12"/>
      <c r="X16" s="69"/>
      <c r="AB16" s="21"/>
      <c r="AC16" s="21"/>
      <c r="AL16" s="21"/>
    </row>
    <row r="17" spans="2:48" ht="15.5">
      <c r="C17" s="4">
        <v>1</v>
      </c>
      <c r="D17" s="11"/>
      <c r="E17" s="58">
        <v>13.4</v>
      </c>
      <c r="F17" s="58">
        <v>14.14</v>
      </c>
      <c r="G17" s="69"/>
      <c r="H17" s="69"/>
      <c r="I17" s="69"/>
      <c r="J17" s="12"/>
      <c r="K17" s="12"/>
      <c r="L17" s="73" t="s">
        <v>81</v>
      </c>
      <c r="M17" s="73"/>
      <c r="N17" s="73"/>
      <c r="O17" s="73"/>
      <c r="P17" s="19"/>
      <c r="Q17" s="12"/>
      <c r="T17" s="5" t="s">
        <v>21</v>
      </c>
      <c r="U17" s="11"/>
      <c r="V17" s="59">
        <v>0.72399999999999998</v>
      </c>
      <c r="W17" s="59">
        <v>0.78400000000000003</v>
      </c>
      <c r="X17" s="70"/>
      <c r="Y17" s="18"/>
      <c r="Z17" s="18"/>
      <c r="AB17" s="21"/>
      <c r="AC17" s="21"/>
      <c r="AU17" s="85"/>
      <c r="AV17" s="85"/>
    </row>
    <row r="18" spans="2:48">
      <c r="C18" s="10"/>
      <c r="D18" s="11"/>
      <c r="E18" s="58">
        <v>18.809999999999999</v>
      </c>
      <c r="F18" s="58">
        <v>19.899999999999999</v>
      </c>
      <c r="G18" s="69"/>
      <c r="H18" s="69"/>
      <c r="I18" s="69"/>
      <c r="J18" s="12"/>
      <c r="K18" s="12"/>
      <c r="L18" s="12"/>
      <c r="M18" s="12"/>
      <c r="N18" s="12"/>
      <c r="O18" s="12"/>
      <c r="P18" s="12"/>
      <c r="Q18" s="12"/>
      <c r="T18" s="5" t="s">
        <v>22</v>
      </c>
      <c r="U18" s="11"/>
      <c r="V18" s="59">
        <v>5.117</v>
      </c>
      <c r="W18" s="59">
        <v>5.5259999999999998</v>
      </c>
      <c r="X18" s="70"/>
      <c r="Y18" s="18"/>
      <c r="Z18" s="18"/>
      <c r="AB18" s="21"/>
      <c r="AC18" s="21"/>
      <c r="AU18" s="85"/>
      <c r="AV18" s="85"/>
    </row>
    <row r="19" spans="2:48">
      <c r="C19" s="10" t="s">
        <v>9</v>
      </c>
      <c r="D19" s="11"/>
      <c r="E19" s="58">
        <v>23.5</v>
      </c>
      <c r="F19" s="58">
        <v>24.91</v>
      </c>
      <c r="G19" s="69"/>
      <c r="H19" s="69"/>
      <c r="I19" s="69"/>
      <c r="J19" s="12"/>
      <c r="K19" s="12"/>
      <c r="L19" s="4"/>
      <c r="M19" s="4"/>
      <c r="N19" s="4" t="str">
        <f>Inputs!$C$4</f>
        <v>FY 2022</v>
      </c>
      <c r="O19" s="4" t="str">
        <f>Inputs!$D$4</f>
        <v>FY 2023</v>
      </c>
      <c r="P19" s="4"/>
      <c r="Q19" s="12"/>
      <c r="W19" s="85"/>
      <c r="Y19" s="70"/>
      <c r="Z19" s="70"/>
      <c r="AB19" s="21"/>
      <c r="AC19" s="21"/>
    </row>
    <row r="20" spans="2:48" ht="15.5">
      <c r="C20" s="10">
        <v>2</v>
      </c>
      <c r="D20" s="11"/>
      <c r="E20" s="58">
        <v>36.22</v>
      </c>
      <c r="F20" s="58">
        <v>38.43</v>
      </c>
      <c r="G20" s="69"/>
      <c r="H20" s="69"/>
      <c r="I20" s="69"/>
      <c r="J20" s="12"/>
      <c r="K20" s="12"/>
      <c r="L20" s="4"/>
      <c r="M20" s="4"/>
      <c r="N20" s="4" t="s">
        <v>1</v>
      </c>
      <c r="O20" s="4" t="s">
        <v>1</v>
      </c>
      <c r="P20" s="4"/>
      <c r="Q20" s="12"/>
      <c r="T20" s="73" t="s">
        <v>81</v>
      </c>
      <c r="U20" s="73"/>
      <c r="V20" s="73"/>
      <c r="W20" s="73"/>
      <c r="X20" s="19"/>
      <c r="Y20" s="12"/>
      <c r="AB20" s="21"/>
      <c r="AC20" s="21"/>
    </row>
    <row r="21" spans="2:48" ht="15.5">
      <c r="C21" s="10">
        <v>3</v>
      </c>
      <c r="D21" s="11"/>
      <c r="E21" s="58">
        <v>65.25</v>
      </c>
      <c r="F21" s="58">
        <v>69.319999999999993</v>
      </c>
      <c r="G21" s="69"/>
      <c r="H21" s="69"/>
      <c r="I21" s="69"/>
      <c r="J21" s="12"/>
      <c r="K21" s="12"/>
      <c r="L21" s="8"/>
      <c r="M21" s="8"/>
      <c r="N21" s="8" t="s">
        <v>3</v>
      </c>
      <c r="O21" s="8" t="s">
        <v>3</v>
      </c>
      <c r="P21" s="8"/>
      <c r="Q21" s="12"/>
      <c r="T21" s="10"/>
      <c r="U21" s="11"/>
      <c r="V21" s="11"/>
      <c r="W21" s="12"/>
      <c r="X21" s="12"/>
      <c r="AB21" s="21"/>
      <c r="AC21" s="21"/>
    </row>
    <row r="22" spans="2:48">
      <c r="C22" s="10">
        <v>4</v>
      </c>
      <c r="D22" s="11"/>
      <c r="E22" s="58">
        <v>110.93</v>
      </c>
      <c r="F22" s="58">
        <v>117.78</v>
      </c>
      <c r="G22" s="69"/>
      <c r="H22" s="69"/>
      <c r="I22" s="69"/>
      <c r="J22" s="12"/>
      <c r="K22" s="12"/>
      <c r="L22" s="4"/>
      <c r="M22" s="4"/>
      <c r="N22" s="4" t="s">
        <v>5</v>
      </c>
      <c r="O22" s="4" t="s">
        <v>5</v>
      </c>
      <c r="P22" s="4"/>
      <c r="Q22" s="12"/>
      <c r="T22" s="15"/>
      <c r="U22" s="3"/>
      <c r="V22" s="4" t="str">
        <f>Inputs!$C$4</f>
        <v>FY 2022</v>
      </c>
      <c r="W22" s="4" t="str">
        <f>Inputs!$D$4</f>
        <v>FY 2023</v>
      </c>
      <c r="X22" s="4"/>
      <c r="AB22" s="21"/>
      <c r="AC22" s="21"/>
    </row>
    <row r="23" spans="2:48">
      <c r="C23" s="10">
        <v>6</v>
      </c>
      <c r="D23" s="11"/>
      <c r="E23" s="58">
        <v>218.57</v>
      </c>
      <c r="F23" s="58">
        <v>232.18</v>
      </c>
      <c r="G23" s="69"/>
      <c r="H23" s="69"/>
      <c r="I23" s="69"/>
      <c r="J23" s="12"/>
      <c r="K23" s="12"/>
      <c r="L23" s="3"/>
      <c r="M23" s="3"/>
      <c r="N23" s="3"/>
      <c r="O23" s="3"/>
      <c r="P23" s="3"/>
      <c r="Q23" s="12"/>
      <c r="T23" s="16"/>
      <c r="U23" s="3"/>
      <c r="V23" s="4" t="s">
        <v>1</v>
      </c>
      <c r="W23" s="4" t="s">
        <v>1</v>
      </c>
      <c r="X23" s="4"/>
      <c r="AB23" s="21"/>
      <c r="AC23" s="21"/>
    </row>
    <row r="24" spans="2:48" ht="15.5">
      <c r="C24" s="10">
        <v>8</v>
      </c>
      <c r="D24" s="11"/>
      <c r="E24" s="58">
        <v>345.77</v>
      </c>
      <c r="F24" s="58">
        <v>367.45</v>
      </c>
      <c r="G24" s="69"/>
      <c r="H24" s="69"/>
      <c r="I24" s="69"/>
      <c r="J24" s="12"/>
      <c r="K24" s="12"/>
      <c r="L24" s="5" t="s">
        <v>19</v>
      </c>
      <c r="M24" s="11"/>
      <c r="N24" s="58">
        <v>1.82</v>
      </c>
      <c r="O24" s="58">
        <v>1.89</v>
      </c>
      <c r="P24" s="69"/>
      <c r="Q24" s="12"/>
      <c r="T24" s="17"/>
      <c r="U24" s="3"/>
      <c r="V24" s="8" t="s">
        <v>3</v>
      </c>
      <c r="W24" s="8" t="s">
        <v>3</v>
      </c>
      <c r="X24" s="8"/>
      <c r="AB24" s="21"/>
      <c r="AC24" s="21"/>
      <c r="AL24" s="21"/>
      <c r="AM24" s="21"/>
    </row>
    <row r="25" spans="2:48">
      <c r="C25" s="10">
        <v>10</v>
      </c>
      <c r="D25" s="11"/>
      <c r="E25" s="58">
        <v>499.09</v>
      </c>
      <c r="F25" s="58">
        <v>530.30999999999995</v>
      </c>
      <c r="G25" s="69"/>
      <c r="H25" s="69"/>
      <c r="I25" s="69"/>
      <c r="J25" s="12"/>
      <c r="K25" s="12"/>
      <c r="O25" s="21"/>
      <c r="Q25" s="12"/>
      <c r="T25" s="3"/>
      <c r="U25" s="3"/>
      <c r="V25" s="4" t="s">
        <v>5</v>
      </c>
      <c r="W25" s="4" t="s">
        <v>5</v>
      </c>
      <c r="X25" s="4"/>
      <c r="AB25" s="21"/>
      <c r="AC25" s="21"/>
    </row>
    <row r="26" spans="2:48">
      <c r="C26" s="10">
        <v>12</v>
      </c>
      <c r="D26" s="11"/>
      <c r="E26" s="58">
        <v>906.63</v>
      </c>
      <c r="F26" s="58">
        <v>964.36</v>
      </c>
      <c r="G26" s="69"/>
      <c r="H26" s="69"/>
      <c r="I26" s="69"/>
      <c r="J26" s="12"/>
      <c r="K26" s="12"/>
      <c r="N26" s="21"/>
      <c r="O26" s="21"/>
      <c r="Q26" s="12"/>
      <c r="T26" s="5"/>
      <c r="U26" s="3"/>
      <c r="V26" s="3"/>
      <c r="W26" s="3"/>
      <c r="X26" s="3"/>
      <c r="AB26" s="21"/>
      <c r="AC26" s="21"/>
    </row>
    <row r="27" spans="2:48">
      <c r="B27" s="13"/>
      <c r="C27" s="13"/>
      <c r="D27" s="3"/>
      <c r="E27" s="3"/>
      <c r="F27" s="3"/>
      <c r="G27" s="44"/>
      <c r="H27" s="44"/>
      <c r="I27" s="44"/>
      <c r="J27" s="14"/>
      <c r="K27" s="14"/>
      <c r="L27" s="12"/>
      <c r="M27" s="12"/>
      <c r="N27" s="12"/>
      <c r="O27" s="12"/>
      <c r="P27" s="12"/>
      <c r="Q27" s="14"/>
      <c r="T27" s="5" t="s">
        <v>19</v>
      </c>
      <c r="U27" s="11"/>
      <c r="V27" s="58">
        <v>2.36</v>
      </c>
      <c r="W27" s="58">
        <v>2.4500000000000002</v>
      </c>
      <c r="X27" s="69"/>
      <c r="Y27" s="12"/>
      <c r="Z27" s="12"/>
      <c r="AU27" s="21"/>
      <c r="AV27" s="21"/>
    </row>
    <row r="28" spans="2:48" ht="15.5">
      <c r="B28" s="80" t="s">
        <v>96</v>
      </c>
      <c r="C28" s="80"/>
      <c r="D28" s="80"/>
      <c r="E28" s="80"/>
      <c r="F28" s="80"/>
      <c r="G28" s="73"/>
      <c r="H28" s="88" t="s">
        <v>97</v>
      </c>
      <c r="I28" s="19"/>
      <c r="J28" s="19"/>
      <c r="K28" s="19"/>
      <c r="O28" s="21"/>
      <c r="Q28" s="19"/>
      <c r="Y28" s="21"/>
      <c r="Z28" s="21"/>
    </row>
    <row r="29" spans="2:48">
      <c r="B29" s="15"/>
      <c r="C29" s="15"/>
      <c r="D29" s="3"/>
      <c r="E29" s="3"/>
      <c r="F29" s="3"/>
      <c r="G29" s="14"/>
      <c r="H29" s="14"/>
      <c r="I29" s="14"/>
      <c r="J29" s="14"/>
      <c r="K29" s="14"/>
      <c r="N29" s="21"/>
      <c r="O29" s="21"/>
      <c r="Q29" s="14"/>
      <c r="T29" s="15"/>
      <c r="U29" s="3"/>
      <c r="V29" s="3"/>
      <c r="W29" s="72"/>
      <c r="X29" s="14"/>
    </row>
    <row r="30" spans="2:48">
      <c r="B30" s="15"/>
      <c r="C30" s="15"/>
      <c r="D30" s="3"/>
      <c r="E30" s="4" t="str">
        <f>Inputs!$C$4</f>
        <v>FY 2022</v>
      </c>
      <c r="F30" s="4" t="str">
        <f>Inputs!$D$4</f>
        <v>FY 2023</v>
      </c>
      <c r="G30" s="4"/>
      <c r="H30" s="4" t="str">
        <f>E30</f>
        <v>FY 2022</v>
      </c>
      <c r="I30" s="4" t="str">
        <f>Inputs!$D$4</f>
        <v>FY 2023</v>
      </c>
      <c r="J30" s="4"/>
      <c r="K30" s="4"/>
      <c r="O30" s="21"/>
      <c r="Q30" s="4"/>
    </row>
    <row r="31" spans="2:48">
      <c r="B31" s="16"/>
      <c r="C31" s="16"/>
      <c r="D31" s="3"/>
      <c r="E31" s="4" t="s">
        <v>3</v>
      </c>
      <c r="F31" s="4" t="s">
        <v>3</v>
      </c>
      <c r="G31" s="4"/>
      <c r="H31" s="4" t="s">
        <v>3</v>
      </c>
      <c r="I31" s="4" t="s">
        <v>3</v>
      </c>
      <c r="J31" s="4"/>
      <c r="K31" s="4"/>
      <c r="O31" s="21"/>
      <c r="Q31" s="4"/>
    </row>
    <row r="32" spans="2:48" ht="15.5">
      <c r="B32" s="16"/>
      <c r="C32" s="16"/>
      <c r="D32" s="3"/>
      <c r="E32" s="8" t="s">
        <v>11</v>
      </c>
      <c r="F32" s="8" t="s">
        <v>11</v>
      </c>
      <c r="G32" s="8"/>
      <c r="H32" s="8" t="s">
        <v>11</v>
      </c>
      <c r="I32" s="8" t="s">
        <v>11</v>
      </c>
      <c r="J32" s="8"/>
      <c r="K32" s="8"/>
      <c r="Q32" s="8"/>
    </row>
    <row r="33" spans="2:29">
      <c r="B33" s="3"/>
      <c r="C33" s="3"/>
      <c r="D33" s="3"/>
      <c r="E33" s="4" t="s">
        <v>5</v>
      </c>
      <c r="F33" s="4" t="s">
        <v>5</v>
      </c>
      <c r="G33" s="4"/>
      <c r="H33" s="4" t="s">
        <v>5</v>
      </c>
      <c r="I33" s="4" t="s">
        <v>5</v>
      </c>
      <c r="J33" s="4"/>
      <c r="K33" s="4"/>
      <c r="Q33" s="4"/>
    </row>
    <row r="34" spans="2:29">
      <c r="B34" s="3"/>
      <c r="C34" s="3"/>
      <c r="D34" s="3"/>
      <c r="E34" s="3"/>
      <c r="F34" s="3"/>
      <c r="G34" s="3"/>
      <c r="H34" s="3"/>
      <c r="I34" s="3"/>
      <c r="J34" s="3"/>
      <c r="K34" s="3"/>
      <c r="Q34" s="3"/>
    </row>
    <row r="35" spans="2:29">
      <c r="B35" s="5" t="s">
        <v>12</v>
      </c>
      <c r="C35" s="5"/>
      <c r="D35" s="11"/>
      <c r="E35" s="58">
        <v>32.61</v>
      </c>
      <c r="F35" s="58">
        <v>34.770000000000003</v>
      </c>
      <c r="G35" s="69"/>
      <c r="H35" s="12">
        <f>E35+E45</f>
        <v>33.700000000000003</v>
      </c>
      <c r="I35" s="12">
        <f>F35+F45</f>
        <v>36.720000000000006</v>
      </c>
      <c r="J35" s="12"/>
      <c r="K35" s="12"/>
      <c r="Q35" s="12"/>
      <c r="AB35" s="21"/>
      <c r="AC35" s="21"/>
    </row>
    <row r="36" spans="2:29">
      <c r="B36" s="5" t="s">
        <v>13</v>
      </c>
      <c r="C36" s="5"/>
      <c r="D36" s="11"/>
      <c r="E36" s="58">
        <v>11.91</v>
      </c>
      <c r="F36" s="58">
        <v>12.66</v>
      </c>
      <c r="G36" s="69"/>
      <c r="H36" s="12">
        <f>E36</f>
        <v>11.91</v>
      </c>
      <c r="I36" s="12">
        <f>F36</f>
        <v>12.66</v>
      </c>
      <c r="J36" s="12"/>
      <c r="K36" s="12"/>
      <c r="Q36" s="12"/>
      <c r="AB36" s="21"/>
      <c r="AC36" s="21"/>
    </row>
    <row r="37" spans="2:29">
      <c r="B37" s="5"/>
      <c r="C37" s="5"/>
      <c r="D37" s="11"/>
      <c r="E37" s="12"/>
      <c r="F37" s="12"/>
      <c r="G37" s="69"/>
      <c r="H37" s="12"/>
      <c r="I37" s="12"/>
      <c r="J37" s="12"/>
      <c r="K37" s="12"/>
      <c r="Q37" s="12"/>
      <c r="AB37" s="21"/>
      <c r="AC37" s="21"/>
    </row>
    <row r="38" spans="2:29">
      <c r="B38" s="5"/>
      <c r="C38" s="5"/>
      <c r="D38" s="11"/>
      <c r="E38" s="4" t="str">
        <f>Inputs!$C$4</f>
        <v>FY 2022</v>
      </c>
      <c r="F38" s="4" t="str">
        <f>Inputs!$D$4</f>
        <v>FY 2023</v>
      </c>
      <c r="G38" s="69"/>
      <c r="H38" s="12"/>
      <c r="I38" s="12"/>
      <c r="J38" s="12"/>
      <c r="K38" s="12"/>
      <c r="Q38" s="12"/>
      <c r="AB38" s="21"/>
      <c r="AC38" s="21"/>
    </row>
    <row r="39" spans="2:29">
      <c r="B39" s="5"/>
      <c r="C39" s="5"/>
      <c r="D39" s="11"/>
      <c r="E39" s="4" t="s">
        <v>3</v>
      </c>
      <c r="F39" s="4" t="s">
        <v>3</v>
      </c>
      <c r="G39" s="69"/>
      <c r="H39" s="12"/>
      <c r="I39" s="12"/>
      <c r="J39" s="12"/>
      <c r="K39" s="12"/>
      <c r="Q39" s="12"/>
      <c r="AB39" s="21"/>
      <c r="AC39" s="21"/>
    </row>
    <row r="40" spans="2:29" ht="15.5">
      <c r="B40" s="5"/>
      <c r="C40" s="5"/>
      <c r="D40" s="135" t="s">
        <v>98</v>
      </c>
      <c r="E40" s="8" t="s">
        <v>129</v>
      </c>
      <c r="F40" s="8" t="s">
        <v>129</v>
      </c>
      <c r="G40" s="69"/>
      <c r="H40" s="12"/>
      <c r="I40" s="12"/>
      <c r="J40" s="12"/>
      <c r="K40" s="12"/>
      <c r="Q40" s="12"/>
      <c r="AB40" s="21"/>
      <c r="AC40" s="21"/>
    </row>
    <row r="41" spans="2:29">
      <c r="B41" s="5" t="s">
        <v>128</v>
      </c>
      <c r="C41" s="5"/>
      <c r="D41" s="3"/>
      <c r="E41" s="58">
        <v>55.72</v>
      </c>
      <c r="F41" s="58">
        <v>58.11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2:29">
      <c r="B42" s="5"/>
      <c r="C42" s="5"/>
      <c r="D42" s="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2:29" ht="15.5">
      <c r="B43" s="184" t="s">
        <v>91</v>
      </c>
      <c r="C43" s="184"/>
      <c r="D43" s="184"/>
      <c r="E43" s="184"/>
      <c r="F43" s="184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2:29">
      <c r="B44" s="5"/>
      <c r="C44" s="5"/>
      <c r="D44" s="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2:29">
      <c r="B45" s="5" t="s">
        <v>12</v>
      </c>
      <c r="C45" s="5"/>
      <c r="D45" s="3"/>
      <c r="E45" s="58">
        <v>1.0900000000000001</v>
      </c>
      <c r="F45" s="58">
        <v>1.95</v>
      </c>
      <c r="G45" s="70"/>
      <c r="H45" s="70"/>
      <c r="I45" s="70"/>
      <c r="J45" s="12"/>
      <c r="K45" s="12"/>
      <c r="L45" s="12"/>
      <c r="M45" s="12"/>
      <c r="N45" s="12"/>
      <c r="O45" s="12"/>
      <c r="P45" s="12"/>
      <c r="Q45" s="12"/>
      <c r="AB45" s="21"/>
      <c r="AC45" s="21"/>
    </row>
    <row r="46" spans="2:29">
      <c r="B46" s="5"/>
      <c r="C46" s="5"/>
      <c r="D46" s="3"/>
      <c r="E46" s="12"/>
      <c r="F46" s="12"/>
      <c r="G46" s="70"/>
      <c r="H46" s="70"/>
      <c r="I46" s="70"/>
      <c r="J46" s="12"/>
      <c r="K46" s="12"/>
      <c r="L46" s="12"/>
      <c r="M46" s="12"/>
      <c r="N46" s="12"/>
      <c r="O46" s="12"/>
      <c r="P46" s="12"/>
      <c r="Q46" s="12"/>
    </row>
    <row r="47" spans="2:29">
      <c r="B47" s="86" t="s">
        <v>95</v>
      </c>
      <c r="C47" s="5"/>
      <c r="D47" s="3"/>
      <c r="E47" s="12"/>
      <c r="F47" s="12"/>
      <c r="G47" s="70"/>
      <c r="H47" s="70"/>
      <c r="I47" s="70"/>
      <c r="J47" s="12"/>
      <c r="K47" s="12"/>
      <c r="L47" s="12"/>
      <c r="M47" s="12"/>
      <c r="N47" s="12"/>
      <c r="O47" s="12"/>
      <c r="P47" s="12"/>
      <c r="Q47" s="12"/>
    </row>
    <row r="48" spans="2:29">
      <c r="B48" s="83"/>
      <c r="C48" s="5"/>
      <c r="D48" s="3"/>
      <c r="E48" s="12"/>
      <c r="F48" s="69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2:29" ht="15.5">
      <c r="B49" s="184" t="s">
        <v>14</v>
      </c>
      <c r="C49" s="184"/>
      <c r="D49" s="184"/>
      <c r="E49" s="184"/>
      <c r="F49" s="184"/>
      <c r="G49" s="184"/>
      <c r="H49" s="19"/>
      <c r="I49" s="19"/>
      <c r="J49" s="19"/>
      <c r="K49" s="19"/>
      <c r="L49" s="12"/>
      <c r="M49" s="12"/>
      <c r="N49" s="12"/>
      <c r="O49" s="12"/>
      <c r="P49" s="19"/>
      <c r="Q49" s="19"/>
    </row>
    <row r="50" spans="2:29">
      <c r="B50" s="5"/>
      <c r="C50" s="5"/>
      <c r="D50" s="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2:29">
      <c r="B51" s="5" t="s">
        <v>15</v>
      </c>
      <c r="C51" s="5"/>
      <c r="D51" s="11"/>
      <c r="E51" s="59">
        <v>0.375</v>
      </c>
      <c r="F51" s="59">
        <v>0.39300000000000002</v>
      </c>
      <c r="G51" s="70"/>
      <c r="H51" s="70"/>
      <c r="I51" s="70"/>
      <c r="J51" s="18"/>
      <c r="K51" s="18"/>
      <c r="L51" s="18"/>
      <c r="M51" s="18"/>
      <c r="N51" s="18"/>
      <c r="O51" s="18"/>
      <c r="P51" s="18"/>
      <c r="Q51" s="18"/>
      <c r="AB51" s="122"/>
      <c r="AC51" s="122"/>
    </row>
    <row r="52" spans="2:29">
      <c r="B52" s="5" t="s">
        <v>16</v>
      </c>
      <c r="C52" s="5"/>
      <c r="D52" s="11"/>
      <c r="E52" s="59">
        <v>0.39300000000000002</v>
      </c>
      <c r="F52" s="59">
        <v>0.40799999999999997</v>
      </c>
      <c r="G52" s="70"/>
      <c r="H52" s="70"/>
      <c r="I52" s="70"/>
      <c r="J52" s="18"/>
      <c r="K52" s="18"/>
      <c r="L52" s="18"/>
      <c r="M52" s="18"/>
      <c r="N52" s="18"/>
      <c r="O52" s="18"/>
      <c r="P52" s="18"/>
      <c r="Q52" s="18"/>
      <c r="AB52" s="122"/>
      <c r="AC52" s="122"/>
    </row>
    <row r="53" spans="2:29"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29">
      <c r="B54" s="13" t="s">
        <v>17</v>
      </c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29">
      <c r="B55" s="13" t="s">
        <v>18</v>
      </c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60" spans="2:29" ht="18">
      <c r="B60" s="1"/>
      <c r="C60" s="1"/>
      <c r="D60" s="1"/>
      <c r="E60" s="1"/>
      <c r="F60" s="1"/>
      <c r="G60" s="22"/>
      <c r="H60" s="22"/>
      <c r="I60" s="22"/>
      <c r="J60" s="22"/>
      <c r="K60" s="22"/>
      <c r="L60" s="183"/>
      <c r="M60" s="183"/>
      <c r="N60" s="183"/>
      <c r="O60" s="183"/>
      <c r="P60" s="22"/>
      <c r="Q60" s="22"/>
      <c r="T60" s="183"/>
      <c r="U60" s="183"/>
      <c r="V60" s="183"/>
      <c r="W60" s="183"/>
      <c r="X60" s="22"/>
    </row>
  </sheetData>
  <mergeCells count="11">
    <mergeCell ref="T60:W60"/>
    <mergeCell ref="B43:F43"/>
    <mergeCell ref="L6:O6"/>
    <mergeCell ref="T6:W6"/>
    <mergeCell ref="C8:G8"/>
    <mergeCell ref="B49:G49"/>
    <mergeCell ref="C4:G4"/>
    <mergeCell ref="C5:G5"/>
    <mergeCell ref="C6:G6"/>
    <mergeCell ref="C2:G2"/>
    <mergeCell ref="L60:O60"/>
  </mergeCells>
  <hyperlinks>
    <hyperlink ref="A1" location="TOC!A1" display="TOC!A1" xr:uid="{00000000-0004-0000-0100-000000000000}"/>
  </hyperlinks>
  <printOptions horizontalCentered="1"/>
  <pageMargins left="0.7" right="0.7" top="0.75" bottom="0.75" header="0.3" footer="0.3"/>
  <pageSetup scale="81" fitToWidth="0" orientation="portrait" r:id="rId1"/>
  <colBreaks count="3" manualBreakCount="3">
    <brk id="11" max="53" man="1"/>
    <brk id="17" max="46" man="1"/>
    <brk id="18" max="46" man="1"/>
  </colBreaks>
  <ignoredErrors>
    <ignoredError sqref="C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114"/>
  <sheetViews>
    <sheetView zoomScaleNormal="100" workbookViewId="0"/>
  </sheetViews>
  <sheetFormatPr defaultRowHeight="14"/>
  <cols>
    <col min="2" max="2" width="17.453125" customWidth="1"/>
    <col min="3" max="3" width="9.453125" customWidth="1"/>
    <col min="4" max="4" width="9.54296875" customWidth="1"/>
    <col min="5" max="6" width="11.1796875" bestFit="1" customWidth="1"/>
    <col min="7" max="7" width="9.1796875" customWidth="1"/>
    <col min="9" max="9" width="9.1796875" customWidth="1"/>
    <col min="14" max="14" width="6" customWidth="1"/>
    <col min="15" max="15" width="23.81640625" customWidth="1"/>
    <col min="16" max="16" width="8.7265625" customWidth="1"/>
    <col min="17" max="17" width="9.1796875" customWidth="1"/>
    <col min="18" max="19" width="17.54296875" customWidth="1"/>
  </cols>
  <sheetData>
    <row r="1" spans="1:22" ht="14.5" thickBot="1">
      <c r="A1" s="134" t="s">
        <v>127</v>
      </c>
    </row>
    <row r="2" spans="1:22" ht="18">
      <c r="B2" s="71" t="s">
        <v>90</v>
      </c>
      <c r="C2" s="71"/>
      <c r="D2" s="71"/>
      <c r="E2" s="71"/>
      <c r="F2" s="71"/>
    </row>
    <row r="3" spans="1:22" ht="18">
      <c r="B3" s="1"/>
      <c r="C3" s="1"/>
      <c r="D3" s="1"/>
      <c r="E3" s="1"/>
      <c r="F3" s="1"/>
      <c r="G3" s="1"/>
    </row>
    <row r="4" spans="1:22" ht="18">
      <c r="A4" s="71"/>
      <c r="B4" s="71" t="s">
        <v>123</v>
      </c>
      <c r="C4" s="71"/>
      <c r="D4" s="71"/>
      <c r="E4" s="71"/>
      <c r="F4" s="71"/>
    </row>
    <row r="5" spans="1:22" ht="18">
      <c r="A5" s="71"/>
      <c r="B5" s="71" t="s">
        <v>25</v>
      </c>
      <c r="C5" s="71"/>
      <c r="D5" s="71"/>
      <c r="E5" s="71"/>
      <c r="F5" s="71"/>
    </row>
    <row r="6" spans="1:22" ht="18">
      <c r="B6" s="183"/>
      <c r="C6" s="183"/>
      <c r="D6" s="183"/>
      <c r="E6" s="183"/>
      <c r="F6" s="183"/>
      <c r="G6" s="22"/>
    </row>
    <row r="7" spans="1:22" ht="15.5">
      <c r="B7" s="184" t="s">
        <v>0</v>
      </c>
      <c r="C7" s="184"/>
      <c r="D7" s="184"/>
      <c r="E7" s="184"/>
      <c r="F7" s="184"/>
      <c r="G7" s="19"/>
    </row>
    <row r="8" spans="1:22">
      <c r="B8" s="3"/>
      <c r="C8" s="3"/>
      <c r="D8" s="3"/>
      <c r="E8" s="3"/>
      <c r="F8" s="47"/>
      <c r="G8" s="47"/>
    </row>
    <row r="9" spans="1:22">
      <c r="B9" s="4"/>
      <c r="C9" s="3"/>
      <c r="D9" s="4" t="str">
        <f>Inputs!$C$4</f>
        <v>FY 2022</v>
      </c>
      <c r="E9" s="4" t="str">
        <f>Inputs!$D$4</f>
        <v>FY 2023</v>
      </c>
      <c r="F9" s="4"/>
      <c r="G9" s="4"/>
    </row>
    <row r="10" spans="1:22">
      <c r="B10" s="4"/>
      <c r="C10" s="3"/>
      <c r="D10" s="4" t="s">
        <v>1</v>
      </c>
      <c r="E10" s="4" t="s">
        <v>1</v>
      </c>
      <c r="F10" s="4"/>
      <c r="G10" s="4"/>
    </row>
    <row r="11" spans="1:22" ht="15.5">
      <c r="B11" s="6" t="s">
        <v>2</v>
      </c>
      <c r="C11" s="7"/>
      <c r="D11" s="8" t="s">
        <v>3</v>
      </c>
      <c r="E11" s="8" t="s">
        <v>3</v>
      </c>
      <c r="F11" s="8"/>
      <c r="G11" s="8"/>
    </row>
    <row r="12" spans="1:22">
      <c r="B12" s="4" t="s">
        <v>4</v>
      </c>
      <c r="C12" s="3"/>
      <c r="D12" s="4" t="s">
        <v>5</v>
      </c>
      <c r="E12" s="4" t="s">
        <v>5</v>
      </c>
      <c r="F12" s="4"/>
      <c r="G12" s="4"/>
    </row>
    <row r="13" spans="1:22">
      <c r="B13" s="3"/>
      <c r="C13" s="3"/>
      <c r="D13" s="3"/>
      <c r="E13" s="3"/>
      <c r="F13" s="9"/>
      <c r="G13" s="9"/>
    </row>
    <row r="14" spans="1:22">
      <c r="B14" s="10" t="s">
        <v>6</v>
      </c>
      <c r="C14" s="12"/>
      <c r="D14" s="58">
        <v>4.9000000000000004</v>
      </c>
      <c r="E14" s="58">
        <v>5</v>
      </c>
      <c r="F14" s="12"/>
      <c r="G14" s="69"/>
      <c r="U14" s="21"/>
      <c r="V14" s="21"/>
    </row>
    <row r="15" spans="1:22">
      <c r="B15" s="10" t="s">
        <v>7</v>
      </c>
      <c r="C15" s="12"/>
      <c r="D15" s="58">
        <v>5.28</v>
      </c>
      <c r="E15" s="58">
        <v>5.39</v>
      </c>
      <c r="F15" s="12"/>
      <c r="G15" s="69"/>
      <c r="U15" s="21"/>
      <c r="V15" s="21"/>
    </row>
    <row r="16" spans="1:22">
      <c r="B16" s="4">
        <v>1</v>
      </c>
      <c r="C16" s="12"/>
      <c r="D16" s="58">
        <v>6.46</v>
      </c>
      <c r="E16" s="58">
        <v>6.61</v>
      </c>
      <c r="F16" s="12"/>
      <c r="G16" s="69"/>
      <c r="U16" s="21"/>
      <c r="V16" s="21"/>
    </row>
    <row r="17" spans="2:22">
      <c r="B17" s="10" t="s">
        <v>8</v>
      </c>
      <c r="C17" s="12"/>
      <c r="D17" s="58">
        <v>7.85</v>
      </c>
      <c r="E17" s="58">
        <v>8.06</v>
      </c>
      <c r="F17" s="12"/>
      <c r="G17" s="69"/>
      <c r="U17" s="21"/>
      <c r="V17" s="21"/>
    </row>
    <row r="18" spans="2:22">
      <c r="B18" s="10" t="s">
        <v>9</v>
      </c>
      <c r="C18" s="12"/>
      <c r="D18" s="58">
        <v>8.75</v>
      </c>
      <c r="E18" s="58">
        <v>9.01</v>
      </c>
      <c r="F18" s="12"/>
      <c r="G18" s="69"/>
      <c r="U18" s="21"/>
      <c r="V18" s="21"/>
    </row>
    <row r="19" spans="2:22">
      <c r="B19" s="10">
        <v>2</v>
      </c>
      <c r="C19" s="12"/>
      <c r="D19" s="58">
        <v>12.26</v>
      </c>
      <c r="E19" s="58">
        <v>12.64</v>
      </c>
      <c r="F19" s="12"/>
      <c r="G19" s="69"/>
      <c r="U19" s="21"/>
      <c r="V19" s="21"/>
    </row>
    <row r="20" spans="2:22">
      <c r="B20" s="10">
        <v>3</v>
      </c>
      <c r="C20" s="12"/>
      <c r="D20" s="58">
        <v>19.61</v>
      </c>
      <c r="E20" s="58">
        <v>20.28</v>
      </c>
      <c r="F20" s="23"/>
      <c r="G20" s="69"/>
      <c r="U20" s="21"/>
      <c r="V20" s="21"/>
    </row>
    <row r="21" spans="2:22">
      <c r="B21" s="10">
        <v>4</v>
      </c>
      <c r="C21" s="12"/>
      <c r="D21" s="58">
        <v>35.46</v>
      </c>
      <c r="E21" s="58">
        <v>36.619999999999997</v>
      </c>
      <c r="F21" s="23"/>
      <c r="G21" s="69"/>
      <c r="U21" s="21"/>
      <c r="V21" s="21"/>
    </row>
    <row r="22" spans="2:22">
      <c r="B22" s="10">
        <v>6</v>
      </c>
      <c r="C22" s="12"/>
      <c r="D22" s="58">
        <v>66.760000000000005</v>
      </c>
      <c r="E22" s="58">
        <v>69.02</v>
      </c>
      <c r="F22" s="23"/>
      <c r="G22" s="69"/>
      <c r="U22" s="21"/>
      <c r="V22" s="21"/>
    </row>
    <row r="23" spans="2:22">
      <c r="B23" s="10">
        <v>8</v>
      </c>
      <c r="C23" s="12"/>
      <c r="D23" s="58">
        <v>101.84</v>
      </c>
      <c r="E23" s="58">
        <v>105.39</v>
      </c>
      <c r="F23" s="23"/>
      <c r="G23" s="69"/>
      <c r="U23" s="21"/>
      <c r="V23" s="21"/>
    </row>
    <row r="24" spans="2:22">
      <c r="B24" s="10">
        <v>10</v>
      </c>
      <c r="C24" s="12"/>
      <c r="D24" s="58">
        <v>148.99</v>
      </c>
      <c r="E24" s="58">
        <v>154.13</v>
      </c>
      <c r="F24" s="23"/>
      <c r="G24" s="69"/>
      <c r="U24" s="21"/>
      <c r="V24" s="21"/>
    </row>
    <row r="25" spans="2:22">
      <c r="B25" s="10">
        <v>12</v>
      </c>
      <c r="C25" s="12"/>
      <c r="D25" s="58">
        <v>245.14</v>
      </c>
      <c r="E25" s="58">
        <v>254.33</v>
      </c>
      <c r="F25" s="23"/>
      <c r="G25" s="69"/>
      <c r="U25" s="21"/>
      <c r="V25" s="21"/>
    </row>
    <row r="26" spans="2:22">
      <c r="B26" s="13"/>
      <c r="C26" s="3"/>
      <c r="D26" s="3"/>
      <c r="E26" s="3"/>
      <c r="F26" s="14"/>
      <c r="G26" s="14"/>
    </row>
    <row r="27" spans="2:22" ht="15.5">
      <c r="B27" s="184" t="s">
        <v>96</v>
      </c>
      <c r="C27" s="184"/>
      <c r="D27" s="184"/>
      <c r="E27" s="184"/>
      <c r="F27" s="184"/>
      <c r="G27" s="19"/>
      <c r="H27" s="184" t="s">
        <v>97</v>
      </c>
      <c r="I27" s="184"/>
      <c r="J27" s="184"/>
      <c r="K27" s="184"/>
      <c r="L27" s="184"/>
    </row>
    <row r="28" spans="2:22">
      <c r="B28" s="15"/>
      <c r="C28" s="3"/>
      <c r="D28" s="3"/>
      <c r="E28" s="3"/>
      <c r="F28" s="14"/>
      <c r="G28" s="14"/>
    </row>
    <row r="29" spans="2:22">
      <c r="B29" s="15"/>
      <c r="C29" s="3"/>
      <c r="D29" s="4" t="str">
        <f>Inputs!$C$4</f>
        <v>FY 2022</v>
      </c>
      <c r="E29" s="4" t="str">
        <f>Inputs!$D$4</f>
        <v>FY 2023</v>
      </c>
      <c r="F29" s="4"/>
      <c r="G29" s="4"/>
      <c r="I29" s="4" t="str">
        <f>Inputs!$C$4</f>
        <v>FY 2022</v>
      </c>
      <c r="J29" s="4" t="str">
        <f>Inputs!$D$4</f>
        <v>FY 2023</v>
      </c>
      <c r="K29" s="4"/>
    </row>
    <row r="30" spans="2:22">
      <c r="B30" s="16"/>
      <c r="C30" s="3"/>
      <c r="D30" s="4" t="s">
        <v>3</v>
      </c>
      <c r="E30" s="4" t="s">
        <v>3</v>
      </c>
      <c r="F30" s="4"/>
      <c r="G30" s="4"/>
      <c r="I30" s="4" t="s">
        <v>3</v>
      </c>
      <c r="J30" s="4" t="s">
        <v>3</v>
      </c>
      <c r="K30" s="4"/>
    </row>
    <row r="31" spans="2:22" ht="15.5">
      <c r="B31" s="17" t="s">
        <v>10</v>
      </c>
      <c r="C31" s="3"/>
      <c r="D31" s="8" t="s">
        <v>11</v>
      </c>
      <c r="E31" s="8" t="s">
        <v>11</v>
      </c>
      <c r="F31" s="8"/>
      <c r="G31" s="8"/>
      <c r="I31" s="8" t="s">
        <v>11</v>
      </c>
      <c r="J31" s="8" t="s">
        <v>11</v>
      </c>
      <c r="K31" s="8"/>
    </row>
    <row r="32" spans="2:22">
      <c r="B32" s="3"/>
      <c r="C32" s="3"/>
      <c r="D32" s="4" t="s">
        <v>5</v>
      </c>
      <c r="E32" s="4" t="s">
        <v>5</v>
      </c>
      <c r="F32" s="4"/>
      <c r="G32" s="4"/>
      <c r="I32" s="4" t="s">
        <v>5</v>
      </c>
      <c r="J32" s="4" t="s">
        <v>5</v>
      </c>
      <c r="K32" s="4"/>
    </row>
    <row r="33" spans="2:22">
      <c r="B33" s="3"/>
      <c r="C33" s="3"/>
      <c r="D33" s="3"/>
      <c r="E33" s="3"/>
      <c r="F33" s="3"/>
      <c r="G33" s="3"/>
      <c r="I33" s="3"/>
      <c r="J33" s="3"/>
      <c r="K33" s="3"/>
    </row>
    <row r="34" spans="2:22">
      <c r="B34" s="5" t="s">
        <v>26</v>
      </c>
      <c r="C34" s="23"/>
      <c r="D34" s="58">
        <v>45.99</v>
      </c>
      <c r="E34" s="58">
        <v>49.22</v>
      </c>
      <c r="F34" s="12"/>
      <c r="G34" s="12"/>
      <c r="H34" s="90"/>
      <c r="I34" s="87">
        <f>D34+$D$43</f>
        <v>46.68</v>
      </c>
      <c r="J34" s="87">
        <f>E34+$E$43</f>
        <v>50.449999999999996</v>
      </c>
      <c r="K34" s="23"/>
      <c r="U34" s="21"/>
      <c r="V34" s="21"/>
    </row>
    <row r="35" spans="2:22">
      <c r="B35" s="20" t="s">
        <v>27</v>
      </c>
      <c r="C35" s="23"/>
      <c r="D35" s="58">
        <v>42.33</v>
      </c>
      <c r="E35" s="58">
        <v>45.23</v>
      </c>
      <c r="F35" s="12"/>
      <c r="G35" s="12"/>
      <c r="H35" s="90"/>
      <c r="I35" s="87">
        <f>D35+$D$43</f>
        <v>43.019999999999996</v>
      </c>
      <c r="J35" s="87">
        <f>E35+$E$43</f>
        <v>46.459999999999994</v>
      </c>
      <c r="K35" s="23"/>
      <c r="U35" s="21"/>
      <c r="V35" s="21"/>
    </row>
    <row r="36" spans="2:22">
      <c r="B36" s="20" t="s">
        <v>28</v>
      </c>
      <c r="C36" s="23"/>
      <c r="D36" s="58">
        <v>32.840000000000003</v>
      </c>
      <c r="E36" s="58">
        <v>35.049999999999997</v>
      </c>
      <c r="F36" s="12"/>
      <c r="G36" s="12"/>
      <c r="H36" s="90"/>
      <c r="I36" s="87">
        <f>D36+$D$43</f>
        <v>33.53</v>
      </c>
      <c r="J36" s="87">
        <f>E36+$E$43</f>
        <v>36.279999999999994</v>
      </c>
      <c r="K36" s="23"/>
      <c r="U36" s="21"/>
      <c r="V36" s="21"/>
    </row>
    <row r="37" spans="2:22">
      <c r="B37" s="3" t="s">
        <v>29</v>
      </c>
      <c r="C37" s="23"/>
      <c r="D37" s="58">
        <v>31.94</v>
      </c>
      <c r="E37" s="58">
        <v>34.090000000000003</v>
      </c>
      <c r="F37" s="12"/>
      <c r="G37" s="12"/>
      <c r="H37" s="90"/>
      <c r="I37" s="87">
        <f>D37+$D$43</f>
        <v>32.630000000000003</v>
      </c>
      <c r="J37" s="87">
        <f>E37+$E$43</f>
        <v>35.32</v>
      </c>
      <c r="K37" s="23"/>
      <c r="U37" s="21"/>
      <c r="V37" s="21"/>
    </row>
    <row r="38" spans="2:22" ht="15.5">
      <c r="B38" s="5"/>
      <c r="C38" s="3"/>
      <c r="D38" s="3"/>
      <c r="E38" s="2"/>
      <c r="F38" s="2"/>
      <c r="G38" s="2"/>
    </row>
    <row r="39" spans="2:22" ht="15.5">
      <c r="B39" s="13" t="s">
        <v>17</v>
      </c>
      <c r="C39" s="3"/>
      <c r="D39" s="3"/>
      <c r="E39" s="2"/>
      <c r="F39" s="2"/>
      <c r="G39" s="2"/>
    </row>
    <row r="40" spans="2:22" ht="15.5">
      <c r="B40" s="3"/>
      <c r="C40" s="3"/>
      <c r="D40" s="3"/>
      <c r="E40" s="2"/>
      <c r="F40" s="2"/>
      <c r="G40" s="2"/>
    </row>
    <row r="41" spans="2:22" ht="15.5">
      <c r="B41" s="80" t="s">
        <v>92</v>
      </c>
      <c r="C41" s="80"/>
      <c r="D41" s="80"/>
      <c r="E41" s="80"/>
      <c r="F41" s="80"/>
      <c r="G41" s="73"/>
      <c r="H41" s="12"/>
    </row>
    <row r="42" spans="2:22">
      <c r="B42" s="5"/>
      <c r="C42" s="5"/>
      <c r="D42" s="3"/>
      <c r="E42" s="12"/>
      <c r="F42" s="12"/>
      <c r="G42" s="12"/>
      <c r="H42" s="12"/>
    </row>
    <row r="43" spans="2:22">
      <c r="B43" s="5" t="s">
        <v>12</v>
      </c>
      <c r="C43" s="5"/>
      <c r="D43" s="58">
        <v>0.69</v>
      </c>
      <c r="E43" s="58">
        <v>1.23</v>
      </c>
      <c r="F43" s="23"/>
      <c r="G43" s="70"/>
    </row>
    <row r="45" spans="2:22">
      <c r="B45" s="86" t="s">
        <v>95</v>
      </c>
    </row>
    <row r="47" spans="2:22" ht="28">
      <c r="D47" s="45" t="str">
        <f>+B34</f>
        <v>First 2 Mcf</v>
      </c>
      <c r="E47" s="45" t="s">
        <v>27</v>
      </c>
      <c r="F47" s="45" t="s">
        <v>28</v>
      </c>
      <c r="G47" s="46" t="s">
        <v>29</v>
      </c>
    </row>
    <row r="49" spans="2:7">
      <c r="B49" s="4" t="str">
        <f>Inputs!$C$4</f>
        <v>FY 2022</v>
      </c>
      <c r="D49" s="21">
        <f>+D$34+D43</f>
        <v>46.68</v>
      </c>
      <c r="E49" s="21">
        <f>+D$35+D43</f>
        <v>43.019999999999996</v>
      </c>
      <c r="F49" s="21">
        <f>+D$36+D43</f>
        <v>33.53</v>
      </c>
      <c r="G49" s="21">
        <f>+D$37+D43</f>
        <v>32.630000000000003</v>
      </c>
    </row>
    <row r="50" spans="2:7">
      <c r="B50" s="4" t="str">
        <f>Inputs!$D$4</f>
        <v>FY 2023</v>
      </c>
      <c r="D50" s="21">
        <f>+E$34+E43</f>
        <v>50.449999999999996</v>
      </c>
      <c r="E50" s="21">
        <f>+E$35+E43</f>
        <v>46.459999999999994</v>
      </c>
      <c r="F50" s="21">
        <f>+E$36+E43</f>
        <v>36.279999999999994</v>
      </c>
      <c r="G50" s="21">
        <f>+E$37+E43</f>
        <v>35.32</v>
      </c>
    </row>
    <row r="51" spans="2:7">
      <c r="D51" s="21"/>
      <c r="E51" s="21"/>
      <c r="F51" s="21"/>
      <c r="G51" s="21"/>
    </row>
    <row r="56" spans="2:7" ht="18">
      <c r="B56" s="71" t="s">
        <v>66</v>
      </c>
      <c r="C56" s="71"/>
      <c r="D56" s="71"/>
      <c r="E56" s="71"/>
      <c r="F56" s="71"/>
    </row>
    <row r="57" spans="2:7" ht="18">
      <c r="B57" s="71"/>
      <c r="C57" s="71"/>
      <c r="D57" s="71"/>
      <c r="E57" s="71"/>
      <c r="F57" s="71"/>
      <c r="G57" s="71"/>
    </row>
    <row r="58" spans="2:7" ht="18">
      <c r="B58" s="71" t="s">
        <v>122</v>
      </c>
      <c r="C58" s="71"/>
      <c r="D58" s="71"/>
      <c r="E58" s="71"/>
      <c r="F58" s="71"/>
    </row>
    <row r="59" spans="2:7" ht="18">
      <c r="B59" s="71" t="s">
        <v>55</v>
      </c>
      <c r="C59" s="71"/>
      <c r="D59" s="71"/>
      <c r="E59" s="71"/>
      <c r="F59" s="71"/>
    </row>
    <row r="60" spans="2:7" ht="18">
      <c r="B60" s="183"/>
      <c r="C60" s="183"/>
      <c r="D60" s="183"/>
      <c r="E60" s="183"/>
      <c r="F60" s="183"/>
      <c r="G60" s="22"/>
    </row>
    <row r="61" spans="2:7" ht="15.5">
      <c r="B61" s="2"/>
      <c r="C61" s="2"/>
      <c r="D61" s="2"/>
      <c r="E61" s="2"/>
      <c r="F61" s="2"/>
      <c r="G61" s="2"/>
    </row>
    <row r="62" spans="2:7" ht="15.5">
      <c r="B62" s="184" t="s">
        <v>56</v>
      </c>
      <c r="C62" s="184"/>
      <c r="D62" s="184"/>
      <c r="E62" s="184"/>
      <c r="F62" s="184"/>
      <c r="G62" s="19"/>
    </row>
    <row r="63" spans="2:7">
      <c r="B63" s="3"/>
      <c r="C63" s="3"/>
      <c r="D63" s="3"/>
      <c r="E63" s="3"/>
      <c r="F63" s="47"/>
      <c r="G63" s="47"/>
    </row>
    <row r="64" spans="2:7">
      <c r="B64" s="4"/>
      <c r="C64" s="3"/>
      <c r="D64" s="4" t="str">
        <f>Inputs!$C$4</f>
        <v>FY 2022</v>
      </c>
      <c r="E64" s="4" t="str">
        <f>Inputs!$D$4</f>
        <v>FY 2023</v>
      </c>
      <c r="F64" s="4"/>
      <c r="G64" s="4"/>
    </row>
    <row r="65" spans="2:22">
      <c r="B65" s="4" t="s">
        <v>57</v>
      </c>
      <c r="C65" s="3"/>
      <c r="D65" s="4" t="s">
        <v>1</v>
      </c>
      <c r="E65" s="4" t="s">
        <v>1</v>
      </c>
      <c r="F65" s="4"/>
      <c r="G65" s="4"/>
    </row>
    <row r="66" spans="2:22" ht="15.5">
      <c r="B66" s="6" t="s">
        <v>58</v>
      </c>
      <c r="C66" s="7"/>
      <c r="D66" s="8" t="s">
        <v>3</v>
      </c>
      <c r="E66" s="8" t="s">
        <v>3</v>
      </c>
      <c r="F66" s="8"/>
      <c r="G66" s="8"/>
    </row>
    <row r="67" spans="2:22">
      <c r="B67" s="4" t="s">
        <v>4</v>
      </c>
      <c r="C67" s="3"/>
      <c r="D67" s="4" t="s">
        <v>5</v>
      </c>
      <c r="E67" s="4" t="s">
        <v>5</v>
      </c>
      <c r="F67" s="4"/>
      <c r="G67" s="4"/>
    </row>
    <row r="68" spans="2:22">
      <c r="B68" s="3"/>
      <c r="C68" s="3"/>
      <c r="D68" s="3"/>
      <c r="E68" s="3"/>
      <c r="F68" s="9"/>
      <c r="G68" s="9"/>
    </row>
    <row r="69" spans="2:22">
      <c r="B69" s="10" t="s">
        <v>59</v>
      </c>
      <c r="C69" s="12"/>
      <c r="D69" s="58">
        <v>22.37</v>
      </c>
      <c r="E69" s="58">
        <v>23.03</v>
      </c>
      <c r="F69" s="12"/>
      <c r="G69" s="69"/>
      <c r="U69" s="21"/>
      <c r="V69" s="21"/>
    </row>
    <row r="70" spans="2:22">
      <c r="B70" s="10">
        <v>6</v>
      </c>
      <c r="C70" s="12"/>
      <c r="D70" s="58">
        <v>40.590000000000003</v>
      </c>
      <c r="E70" s="58">
        <v>41.85</v>
      </c>
      <c r="F70" s="12"/>
      <c r="G70" s="69"/>
      <c r="U70" s="21"/>
      <c r="V70" s="21"/>
    </row>
    <row r="71" spans="2:22">
      <c r="B71" s="10">
        <v>8</v>
      </c>
      <c r="C71" s="12"/>
      <c r="D71" s="58">
        <v>59.96</v>
      </c>
      <c r="E71" s="58">
        <v>61.93</v>
      </c>
      <c r="F71" s="12"/>
      <c r="G71" s="69"/>
      <c r="U71" s="21"/>
      <c r="V71" s="21"/>
    </row>
    <row r="72" spans="2:22">
      <c r="B72" s="10">
        <v>10</v>
      </c>
      <c r="C72" s="12"/>
      <c r="D72" s="58">
        <v>88.79</v>
      </c>
      <c r="E72" s="58">
        <v>91.64</v>
      </c>
      <c r="F72" s="12"/>
      <c r="G72" s="69"/>
      <c r="U72" s="21"/>
      <c r="V72" s="21"/>
    </row>
    <row r="73" spans="2:22">
      <c r="B73" s="10">
        <v>12</v>
      </c>
      <c r="C73" s="12"/>
      <c r="D73" s="58">
        <v>132.6</v>
      </c>
      <c r="E73" s="58">
        <v>137.5</v>
      </c>
      <c r="F73" s="12"/>
      <c r="G73" s="69"/>
    </row>
    <row r="74" spans="2:22">
      <c r="B74" s="13"/>
      <c r="C74" s="3"/>
      <c r="D74" s="3"/>
      <c r="E74" s="3"/>
      <c r="F74" s="14"/>
      <c r="G74" s="14"/>
    </row>
    <row r="75" spans="2:22" ht="15.5">
      <c r="B75" s="184" t="s">
        <v>60</v>
      </c>
      <c r="C75" s="184"/>
      <c r="D75" s="184"/>
      <c r="E75" s="184"/>
      <c r="F75" s="184"/>
      <c r="G75" s="19"/>
    </row>
    <row r="76" spans="2:22">
      <c r="B76" s="15"/>
      <c r="C76" s="3"/>
      <c r="D76" s="3"/>
      <c r="E76" s="3"/>
      <c r="F76" s="47"/>
      <c r="G76" s="47"/>
    </row>
    <row r="77" spans="2:22">
      <c r="B77" s="15"/>
      <c r="C77" s="3"/>
      <c r="D77" s="4" t="str">
        <f>Inputs!$C$4</f>
        <v>FY 2022</v>
      </c>
      <c r="E77" s="4" t="str">
        <f>Inputs!$D$4</f>
        <v>FY 2023</v>
      </c>
      <c r="F77" s="4"/>
      <c r="G77" s="4"/>
    </row>
    <row r="78" spans="2:22">
      <c r="B78" s="16"/>
      <c r="C78" s="3"/>
      <c r="D78" s="4" t="s">
        <v>61</v>
      </c>
      <c r="E78" s="4" t="s">
        <v>61</v>
      </c>
      <c r="F78" s="4"/>
      <c r="G78" s="4"/>
    </row>
    <row r="79" spans="2:22" ht="15.5">
      <c r="B79" s="17"/>
      <c r="C79" s="3"/>
      <c r="D79" s="8" t="s">
        <v>3</v>
      </c>
      <c r="E79" s="8" t="s">
        <v>3</v>
      </c>
      <c r="F79" s="8"/>
      <c r="G79" s="8"/>
    </row>
    <row r="80" spans="2:22">
      <c r="B80" s="3"/>
      <c r="C80" s="3"/>
      <c r="D80" s="4" t="s">
        <v>5</v>
      </c>
      <c r="E80" s="4" t="s">
        <v>5</v>
      </c>
      <c r="F80" s="4"/>
      <c r="G80" s="4"/>
    </row>
    <row r="81" spans="1:22">
      <c r="B81" s="3"/>
      <c r="C81" s="3"/>
      <c r="D81" s="3"/>
      <c r="E81" s="3"/>
      <c r="F81" s="3"/>
      <c r="G81" s="3"/>
    </row>
    <row r="82" spans="1:22">
      <c r="B82" s="5" t="s">
        <v>62</v>
      </c>
      <c r="C82" s="3"/>
      <c r="D82" s="41">
        <v>6533000</v>
      </c>
      <c r="E82" s="167">
        <v>7148000</v>
      </c>
      <c r="F82" s="89"/>
      <c r="U82" s="21"/>
      <c r="V82" s="21"/>
    </row>
    <row r="92" spans="1:22" ht="18">
      <c r="A92" s="185" t="s">
        <v>89</v>
      </c>
      <c r="B92" s="185"/>
      <c r="C92" s="185"/>
      <c r="D92" s="185"/>
      <c r="E92" s="185"/>
      <c r="F92" s="132"/>
    </row>
    <row r="93" spans="1:22" ht="18">
      <c r="A93" s="92"/>
      <c r="B93" s="92"/>
      <c r="C93" s="92"/>
      <c r="D93" s="92"/>
      <c r="E93" s="92"/>
      <c r="F93" s="132"/>
      <c r="G93" s="1"/>
    </row>
    <row r="94" spans="1:22" ht="18">
      <c r="A94" s="185" t="s">
        <v>122</v>
      </c>
      <c r="B94" s="185"/>
      <c r="C94" s="185"/>
      <c r="D94" s="185"/>
      <c r="E94" s="185"/>
      <c r="F94" s="132"/>
    </row>
    <row r="95" spans="1:22" ht="18">
      <c r="A95" s="185" t="s">
        <v>55</v>
      </c>
      <c r="B95" s="185"/>
      <c r="C95" s="185"/>
      <c r="D95" s="185"/>
      <c r="E95" s="185"/>
      <c r="F95" s="132"/>
    </row>
    <row r="96" spans="1:22" ht="18">
      <c r="A96" s="185" t="s">
        <v>63</v>
      </c>
      <c r="B96" s="185"/>
      <c r="C96" s="185"/>
      <c r="D96" s="185"/>
      <c r="E96" s="185"/>
      <c r="F96" s="132"/>
      <c r="G96" s="22"/>
    </row>
    <row r="97" spans="1:19" ht="4" customHeight="1">
      <c r="F97" s="67"/>
    </row>
    <row r="98" spans="1:19" ht="17">
      <c r="A98" s="93"/>
      <c r="B98" s="94"/>
      <c r="C98" s="94"/>
      <c r="D98" s="95"/>
      <c r="E98" s="96">
        <f>D98-1</f>
        <v>-1</v>
      </c>
      <c r="F98" s="108"/>
      <c r="N98" s="106"/>
      <c r="O98" s="107"/>
      <c r="P98" s="107"/>
      <c r="Q98" s="107"/>
      <c r="R98" s="108"/>
      <c r="S98" s="108"/>
    </row>
    <row r="99" spans="1:19" ht="16">
      <c r="A99" s="93"/>
      <c r="B99" s="93"/>
      <c r="C99" s="82"/>
      <c r="D99" s="82" t="str">
        <f>Inputs!$C$4</f>
        <v>FY 2022</v>
      </c>
      <c r="E99" s="82" t="str">
        <f>Inputs!$D$4</f>
        <v>FY 2023</v>
      </c>
      <c r="I99" s="4"/>
      <c r="J99" s="4"/>
    </row>
    <row r="100" spans="1:19" ht="14.5">
      <c r="A100" s="95" t="s">
        <v>93</v>
      </c>
      <c r="B100" s="95" t="s">
        <v>57</v>
      </c>
      <c r="C100" s="95"/>
      <c r="D100" s="95" t="s">
        <v>1</v>
      </c>
      <c r="E100" s="95" t="s">
        <v>1</v>
      </c>
      <c r="I100" s="4"/>
      <c r="J100" s="4"/>
    </row>
    <row r="101" spans="1:19" ht="16">
      <c r="A101" s="81" t="s">
        <v>94</v>
      </c>
      <c r="B101" s="81" t="s">
        <v>58</v>
      </c>
      <c r="C101" s="81"/>
      <c r="D101" s="81" t="s">
        <v>3</v>
      </c>
      <c r="E101" s="81" t="s">
        <v>3</v>
      </c>
      <c r="I101" s="8"/>
      <c r="J101" s="8"/>
    </row>
    <row r="102" spans="1:19">
      <c r="A102" s="97"/>
      <c r="B102" s="97" t="s">
        <v>4</v>
      </c>
      <c r="C102" s="98"/>
      <c r="D102" s="97" t="s">
        <v>5</v>
      </c>
      <c r="E102" s="97" t="s">
        <v>5</v>
      </c>
      <c r="F102" s="84"/>
      <c r="G102" s="84"/>
      <c r="I102" s="4"/>
      <c r="J102" s="4"/>
    </row>
    <row r="103" spans="1:19" ht="14.5">
      <c r="A103" s="99" t="s">
        <v>64</v>
      </c>
      <c r="B103" s="99"/>
      <c r="C103" s="99"/>
      <c r="D103" s="99"/>
      <c r="E103" s="99"/>
    </row>
    <row r="104" spans="1:19">
      <c r="A104" s="100">
        <v>1</v>
      </c>
      <c r="B104" s="100" t="s">
        <v>7</v>
      </c>
      <c r="C104" s="84"/>
      <c r="D104" s="101">
        <v>7</v>
      </c>
      <c r="E104" s="101">
        <v>7.25</v>
      </c>
      <c r="G104" s="101"/>
      <c r="H104" s="137"/>
      <c r="M104" s="21"/>
      <c r="N104" s="21"/>
    </row>
    <row r="105" spans="1:19">
      <c r="A105" s="100">
        <f>1+MAX(A$98:A104)</f>
        <v>2</v>
      </c>
      <c r="B105" s="100">
        <v>1</v>
      </c>
      <c r="C105" s="84"/>
      <c r="D105" s="101">
        <v>8.18</v>
      </c>
      <c r="E105" s="101">
        <v>8.4700000000000006</v>
      </c>
      <c r="G105" s="101"/>
      <c r="H105" s="137"/>
      <c r="M105" s="21"/>
      <c r="N105" s="21"/>
    </row>
    <row r="106" spans="1:19">
      <c r="A106" s="100">
        <f>1+MAX(A$98:A105)</f>
        <v>3</v>
      </c>
      <c r="B106" s="100" t="s">
        <v>9</v>
      </c>
      <c r="C106" s="84"/>
      <c r="D106" s="101">
        <v>10.47</v>
      </c>
      <c r="E106" s="101">
        <v>10.87</v>
      </c>
      <c r="G106" s="101"/>
      <c r="H106" s="137"/>
      <c r="M106" s="21"/>
      <c r="N106" s="21"/>
    </row>
    <row r="107" spans="1:19">
      <c r="A107" s="100">
        <f>1+MAX(A$98:A106)</f>
        <v>4</v>
      </c>
      <c r="B107" s="100">
        <v>2</v>
      </c>
      <c r="C107" s="84"/>
      <c r="D107" s="101">
        <v>13.98</v>
      </c>
      <c r="E107" s="101">
        <v>14.5</v>
      </c>
      <c r="G107" s="101"/>
      <c r="H107" s="137"/>
      <c r="M107" s="21"/>
      <c r="N107" s="21"/>
    </row>
    <row r="108" spans="1:19" ht="2.25" customHeight="1">
      <c r="A108" s="57"/>
      <c r="B108" s="57"/>
      <c r="C108" s="57"/>
      <c r="D108" s="57"/>
      <c r="E108" s="57"/>
    </row>
    <row r="109" spans="1:19" ht="14.5">
      <c r="A109" s="99" t="s">
        <v>65</v>
      </c>
      <c r="B109" s="99"/>
      <c r="C109" s="99"/>
      <c r="D109" s="99"/>
      <c r="E109" s="99"/>
    </row>
    <row r="110" spans="1:19">
      <c r="A110" s="100">
        <f>1+MAX(A$98:A109)</f>
        <v>5</v>
      </c>
      <c r="B110" s="100" t="s">
        <v>7</v>
      </c>
      <c r="C110" s="84"/>
      <c r="D110" s="101">
        <v>7.2</v>
      </c>
      <c r="E110" s="101">
        <v>7.54</v>
      </c>
      <c r="M110" s="21"/>
      <c r="N110" s="21"/>
    </row>
    <row r="111" spans="1:19">
      <c r="A111" s="100">
        <f>1+MAX(A$98:A110)</f>
        <v>6</v>
      </c>
      <c r="B111" s="100">
        <v>1</v>
      </c>
      <c r="C111" s="84"/>
      <c r="D111" s="101">
        <v>7.2</v>
      </c>
      <c r="E111" s="101">
        <v>7.54</v>
      </c>
      <c r="M111" s="21"/>
      <c r="N111" s="21"/>
    </row>
    <row r="112" spans="1:19">
      <c r="A112" s="100">
        <f>1+MAX(A$98:A111)</f>
        <v>7</v>
      </c>
      <c r="B112" s="100" t="s">
        <v>9</v>
      </c>
      <c r="C112" s="84"/>
      <c r="D112" s="101">
        <v>7.2</v>
      </c>
      <c r="E112" s="101">
        <v>7.54</v>
      </c>
      <c r="M112" s="21"/>
      <c r="N112" s="21"/>
    </row>
    <row r="113" spans="1:14">
      <c r="A113" s="100">
        <f>1+MAX(A$98:A112)</f>
        <v>8</v>
      </c>
      <c r="B113" s="100">
        <v>2</v>
      </c>
      <c r="C113" s="84"/>
      <c r="D113" s="101">
        <v>7.2</v>
      </c>
      <c r="E113" s="101">
        <v>7.54</v>
      </c>
      <c r="M113" s="21"/>
      <c r="N113" s="21"/>
    </row>
    <row r="114" spans="1:14" ht="2.25" customHeight="1"/>
  </sheetData>
  <mergeCells count="11">
    <mergeCell ref="A94:E94"/>
    <mergeCell ref="A95:E95"/>
    <mergeCell ref="A96:E96"/>
    <mergeCell ref="H27:L27"/>
    <mergeCell ref="B75:F75"/>
    <mergeCell ref="B27:F27"/>
    <mergeCell ref="B6:F6"/>
    <mergeCell ref="B7:F7"/>
    <mergeCell ref="B60:F60"/>
    <mergeCell ref="B62:F62"/>
    <mergeCell ref="A92:E92"/>
  </mergeCells>
  <hyperlinks>
    <hyperlink ref="A1" location="TOC!A1" display="TOC!A1" xr:uid="{00000000-0004-0000-0200-000000000000}"/>
  </hyperlinks>
  <printOptions horizontalCentered="1"/>
  <pageMargins left="0.7" right="0.7" top="0.75" bottom="0.75" header="0.3" footer="0.3"/>
  <pageSetup fitToWidth="0" orientation="portrait" r:id="rId1"/>
  <ignoredErrors>
    <ignoredError sqref="A18:B18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H45"/>
  <sheetViews>
    <sheetView zoomScaleNormal="100" workbookViewId="0"/>
  </sheetViews>
  <sheetFormatPr defaultRowHeight="14"/>
  <cols>
    <col min="2" max="6" width="15.7265625" customWidth="1"/>
    <col min="7" max="7" width="12.26953125" customWidth="1"/>
    <col min="8" max="8" width="9.26953125" customWidth="1"/>
    <col min="9" max="11" width="9.1796875" customWidth="1"/>
    <col min="12" max="12" width="6.453125" customWidth="1"/>
  </cols>
  <sheetData>
    <row r="1" spans="1:6" ht="14.5" thickBot="1">
      <c r="A1" s="134" t="s">
        <v>127</v>
      </c>
    </row>
    <row r="2" spans="1:6" ht="15.5">
      <c r="B2" s="123" t="s">
        <v>70</v>
      </c>
      <c r="C2" s="123"/>
      <c r="D2" s="123"/>
      <c r="E2" s="123"/>
      <c r="F2" s="123"/>
    </row>
    <row r="3" spans="1:6" ht="15.5">
      <c r="B3" s="123"/>
      <c r="C3" s="123"/>
      <c r="D3" s="123"/>
      <c r="E3" s="123"/>
      <c r="F3" s="123"/>
    </row>
    <row r="4" spans="1:6" ht="15.5">
      <c r="B4" s="123" t="s">
        <v>101</v>
      </c>
      <c r="C4" s="123"/>
      <c r="D4" s="123"/>
      <c r="E4" s="123"/>
      <c r="F4" s="123"/>
    </row>
    <row r="5" spans="1:6" ht="15.5">
      <c r="B5" s="123" t="s">
        <v>71</v>
      </c>
      <c r="C5" s="123"/>
      <c r="D5" s="123"/>
      <c r="E5" s="123"/>
      <c r="F5" s="123"/>
    </row>
    <row r="6" spans="1:6" ht="15.5">
      <c r="B6" s="123" t="s">
        <v>144</v>
      </c>
      <c r="C6" s="123"/>
      <c r="D6" s="123"/>
      <c r="E6" s="123"/>
      <c r="F6" s="123"/>
    </row>
    <row r="7" spans="1:6">
      <c r="B7" s="26"/>
      <c r="C7" s="26"/>
      <c r="D7" s="26"/>
      <c r="E7" s="27"/>
      <c r="F7" s="26"/>
    </row>
    <row r="8" spans="1:6" ht="14.5">
      <c r="B8" s="124">
        <v>-1</v>
      </c>
      <c r="C8" s="124">
        <v>-2</v>
      </c>
      <c r="D8" s="124">
        <v>-3</v>
      </c>
      <c r="E8" s="124">
        <v>-4</v>
      </c>
      <c r="F8" s="124">
        <v>-5</v>
      </c>
    </row>
    <row r="9" spans="1:6" ht="16">
      <c r="B9" s="129"/>
      <c r="C9" s="129"/>
      <c r="D9" s="129" t="str">
        <f>Inputs!$C$4</f>
        <v>FY 2022</v>
      </c>
      <c r="E9" s="126" t="str">
        <f>Inputs!$D$4</f>
        <v>FY 2023</v>
      </c>
      <c r="F9" s="131"/>
    </row>
    <row r="10" spans="1:6" ht="5.15" customHeight="1"/>
    <row r="11" spans="1:6" ht="14.5">
      <c r="B11" s="124"/>
      <c r="C11" s="124"/>
      <c r="D11" s="124"/>
      <c r="E11" s="124"/>
      <c r="F11" s="124"/>
    </row>
    <row r="12" spans="1:6" ht="14.5">
      <c r="B12" s="124" t="s">
        <v>53</v>
      </c>
      <c r="C12" s="124" t="s">
        <v>1</v>
      </c>
      <c r="D12" s="124" t="s">
        <v>30</v>
      </c>
      <c r="E12" s="124" t="s">
        <v>143</v>
      </c>
      <c r="F12" s="124" t="s">
        <v>145</v>
      </c>
    </row>
    <row r="13" spans="1:6" ht="16">
      <c r="B13" s="129" t="s">
        <v>54</v>
      </c>
      <c r="C13" s="129" t="s">
        <v>31</v>
      </c>
      <c r="D13" s="129" t="s">
        <v>32</v>
      </c>
      <c r="E13" s="129" t="s">
        <v>32</v>
      </c>
      <c r="F13" s="130" t="s">
        <v>33</v>
      </c>
    </row>
    <row r="14" spans="1:6" ht="14.5">
      <c r="B14" s="124" t="s">
        <v>4</v>
      </c>
      <c r="C14" s="124" t="s">
        <v>34</v>
      </c>
      <c r="D14" s="124" t="s">
        <v>5</v>
      </c>
      <c r="E14" s="124" t="s">
        <v>5</v>
      </c>
      <c r="F14" s="124" t="s">
        <v>35</v>
      </c>
    </row>
    <row r="15" spans="1:6" ht="3.65" customHeight="1" thickBot="1">
      <c r="B15" s="25"/>
      <c r="C15" s="25"/>
      <c r="D15" s="25"/>
      <c r="E15" s="25"/>
      <c r="F15" s="25"/>
    </row>
    <row r="16" spans="1:6" ht="15" thickTop="1" thickBot="1">
      <c r="B16" s="110" t="str">
        <f>+'Typical Bills WATER'!B14</f>
        <v>5/8</v>
      </c>
      <c r="C16" s="111">
        <f>+'Typical Bills WATER'!C14</f>
        <v>0</v>
      </c>
      <c r="D16" s="112">
        <f>+'Typical Bills WATER'!D14+'Typical Bills SANITARY'!D14+'Typical Res Bills SW'!D14</f>
        <v>28.96</v>
      </c>
      <c r="E16" s="112">
        <f>+'Typical Bills WATER'!E14+'Typical Bills SANITARY'!E14+'Typical Res Bills SW'!E14</f>
        <v>30.7</v>
      </c>
      <c r="F16" s="113">
        <f t="shared" ref="F16:F26" si="0">(+E16/D16-1)*100</f>
        <v>6.0082872928176823</v>
      </c>
    </row>
    <row r="17" spans="2:8" ht="15" thickTop="1" thickBot="1">
      <c r="B17" s="141" t="str">
        <f>+'Typical Bills WATER'!B15</f>
        <v>5/8</v>
      </c>
      <c r="C17" s="142">
        <f>+'Typical Bills WATER'!C15</f>
        <v>0.2</v>
      </c>
      <c r="D17" s="143">
        <f>+'Typical Bills WATER'!D15+'Typical Bills SANITARY'!D15+'Typical Res Bills SW'!D15</f>
        <v>45.04</v>
      </c>
      <c r="E17" s="143">
        <f>+'Typical Bills WATER'!E15+'Typical Bills SANITARY'!E15+'Typical Res Bills SW'!E15</f>
        <v>48.129999999999995</v>
      </c>
      <c r="F17" s="144">
        <f t="shared" si="0"/>
        <v>6.8605683836589604</v>
      </c>
    </row>
    <row r="18" spans="2:8" ht="15" thickTop="1" thickBot="1">
      <c r="B18" s="154" t="str">
        <f>+'Typical Bills WATER'!B16</f>
        <v>5/8</v>
      </c>
      <c r="C18" s="155">
        <f>+'Typical Bills WATER'!C16</f>
        <v>0.3</v>
      </c>
      <c r="D18" s="156">
        <f>+'Typical Bills WATER'!D16+'Typical Bills SANITARY'!D16+'Typical Res Bills SW'!D16</f>
        <v>53.069999999999993</v>
      </c>
      <c r="E18" s="156">
        <f>+'Typical Bills WATER'!E16+'Typical Bills SANITARY'!E16+'Typical Res Bills SW'!E16</f>
        <v>56.86</v>
      </c>
      <c r="F18" s="157">
        <f t="shared" si="0"/>
        <v>7.141511211607332</v>
      </c>
      <c r="G18" s="153" t="s">
        <v>148</v>
      </c>
    </row>
    <row r="19" spans="2:8" ht="15" thickTop="1" thickBot="1">
      <c r="B19" s="149" t="str">
        <f>+'Typical Bills WATER'!B17</f>
        <v>5/8</v>
      </c>
      <c r="C19" s="150">
        <f>+'Typical Bills WATER'!C17</f>
        <v>0.4</v>
      </c>
      <c r="D19" s="151">
        <f>+'Typical Bills WATER'!D17+'Typical Bills SANITARY'!D17+'Typical Res Bills SW'!D17</f>
        <v>61.11</v>
      </c>
      <c r="E19" s="151">
        <f>+'Typical Bills WATER'!E17+'Typical Bills SANITARY'!E17+'Typical Res Bills SW'!E17</f>
        <v>65.569999999999993</v>
      </c>
      <c r="F19" s="152">
        <f t="shared" si="0"/>
        <v>7.2983145148093564</v>
      </c>
      <c r="G19" s="153"/>
    </row>
    <row r="20" spans="2:8" ht="15" thickTop="1" thickBot="1">
      <c r="B20" s="154" t="str">
        <f>+'Typical Bills WATER'!B18</f>
        <v>5/8</v>
      </c>
      <c r="C20" s="155">
        <f>+'Typical Bills WATER'!C18</f>
        <v>0.5</v>
      </c>
      <c r="D20" s="156">
        <f>+'Typical Bills WATER'!D18+'Typical Bills SANITARY'!D18+'Typical Res Bills SW'!D18</f>
        <v>69.150000000000006</v>
      </c>
      <c r="E20" s="156">
        <f>+'Typical Bills WATER'!E18+'Typical Bills SANITARY'!E18+'Typical Res Bills SW'!E18</f>
        <v>74.289999999999992</v>
      </c>
      <c r="F20" s="157">
        <f t="shared" si="0"/>
        <v>7.4331164135936101</v>
      </c>
      <c r="G20" s="153" t="s">
        <v>149</v>
      </c>
      <c r="H20" s="21"/>
    </row>
    <row r="21" spans="2:8" ht="15" thickTop="1" thickBot="1">
      <c r="B21" s="145" t="str">
        <f>+'Typical Bills WATER'!B19</f>
        <v>5/8</v>
      </c>
      <c r="C21" s="146">
        <f>+'Typical Bills WATER'!C19</f>
        <v>0.6</v>
      </c>
      <c r="D21" s="147">
        <f>+'Typical Bills WATER'!D19+'Typical Bills SANITARY'!D19+'Typical Res Bills SW'!D19</f>
        <v>77.19</v>
      </c>
      <c r="E21" s="147">
        <f>+'Typical Bills WATER'!E19+'Typical Bills SANITARY'!E19+'Typical Res Bills SW'!E19</f>
        <v>83</v>
      </c>
      <c r="F21" s="148">
        <f t="shared" si="0"/>
        <v>7.5268817204301008</v>
      </c>
    </row>
    <row r="22" spans="2:8" ht="15" thickTop="1" thickBot="1">
      <c r="B22" s="110" t="str">
        <f>+'Typical Bills WATER'!B20</f>
        <v>5/8</v>
      </c>
      <c r="C22" s="111">
        <f>+'Typical Bills WATER'!C20</f>
        <v>0.7</v>
      </c>
      <c r="D22" s="112">
        <f>+'Typical Bills WATER'!D20+'Typical Bills SANITARY'!D20+'Typical Res Bills SW'!D20</f>
        <v>85.23</v>
      </c>
      <c r="E22" s="112">
        <f>+'Typical Bills WATER'!E20+'Typical Bills SANITARY'!E20+'Typical Res Bills SW'!E20</f>
        <v>91.72</v>
      </c>
      <c r="F22" s="113">
        <f t="shared" si="0"/>
        <v>7.614689663264107</v>
      </c>
    </row>
    <row r="23" spans="2:8" ht="15" thickTop="1" thickBot="1">
      <c r="B23" s="110" t="str">
        <f>+'Typical Bills WATER'!B21</f>
        <v>5/8</v>
      </c>
      <c r="C23" s="111">
        <f>+'Typical Bills WATER'!C21</f>
        <v>0.8</v>
      </c>
      <c r="D23" s="112">
        <f>+'Typical Bills WATER'!D21+'Typical Bills SANITARY'!D21+'Typical Res Bills SW'!D21</f>
        <v>93.26</v>
      </c>
      <c r="E23" s="112">
        <f>+'Typical Bills WATER'!E21+'Typical Bills SANITARY'!E21+'Typical Res Bills SW'!E21</f>
        <v>100.44</v>
      </c>
      <c r="F23" s="113">
        <f t="shared" si="0"/>
        <v>7.6989062835084665</v>
      </c>
    </row>
    <row r="24" spans="2:8" ht="15" thickTop="1" thickBot="1">
      <c r="B24" s="110" t="str">
        <f>+'Typical Bills WATER'!B22</f>
        <v>5/8</v>
      </c>
      <c r="C24" s="111">
        <f>+'Typical Bills WATER'!C22</f>
        <v>1.7</v>
      </c>
      <c r="D24" s="112">
        <f>+'Typical Bills WATER'!D22+'Typical Bills SANITARY'!D22+'Typical Res Bills SW'!D22</f>
        <v>165.61</v>
      </c>
      <c r="E24" s="112">
        <f>+'Typical Bills WATER'!E22+'Typical Bills SANITARY'!E22+'Typical Res Bills SW'!E22</f>
        <v>178.89000000000001</v>
      </c>
      <c r="F24" s="113">
        <f t="shared" si="0"/>
        <v>8.0188394420626743</v>
      </c>
    </row>
    <row r="25" spans="2:8" ht="15" thickTop="1" thickBot="1">
      <c r="B25" s="110" t="str">
        <f>+'Typical Bills WATER'!B23</f>
        <v>5/8</v>
      </c>
      <c r="C25" s="111">
        <f>+'Typical Bills WATER'!C23</f>
        <v>2.7</v>
      </c>
      <c r="D25" s="112">
        <f>+'Typical Bills WATER'!D23+'Typical Bills SANITARY'!D23+'Typical Res Bills SW'!D23</f>
        <v>243.42000000000002</v>
      </c>
      <c r="E25" s="112">
        <f>+'Typical Bills WATER'!E23+'Typical Bills SANITARY'!E23+'Typical Res Bills SW'!E23</f>
        <v>263.26</v>
      </c>
      <c r="F25" s="113">
        <f t="shared" si="0"/>
        <v>8.1505217319858492</v>
      </c>
    </row>
    <row r="26" spans="2:8" ht="15" thickTop="1" thickBot="1">
      <c r="B26" s="110" t="str">
        <f>+'Typical Bills WATER'!B24</f>
        <v>5/8</v>
      </c>
      <c r="C26" s="111">
        <f>+'Typical Bills WATER'!C24</f>
        <v>3.3</v>
      </c>
      <c r="D26" s="112">
        <f>+'Typical Bills WATER'!D24+'Typical Bills SANITARY'!D24+'Typical Res Bills SW'!D24</f>
        <v>289.46000000000004</v>
      </c>
      <c r="E26" s="112">
        <f>+'Typical Bills WATER'!E24+'Typical Bills SANITARY'!E24+'Typical Res Bills SW'!E24</f>
        <v>313.18</v>
      </c>
      <c r="F26" s="113">
        <f t="shared" si="0"/>
        <v>8.1945691978166035</v>
      </c>
    </row>
    <row r="27" spans="2:8" ht="14.5" thickTop="1">
      <c r="B27" s="32"/>
      <c r="C27" s="33"/>
      <c r="D27" s="34"/>
      <c r="E27" s="34"/>
      <c r="F27" s="25"/>
    </row>
    <row r="28" spans="2:8">
      <c r="B28" s="139" t="s">
        <v>100</v>
      </c>
      <c r="C28" s="33"/>
      <c r="D28" s="34"/>
      <c r="E28" s="34"/>
      <c r="F28" s="25"/>
    </row>
    <row r="29" spans="2:8">
      <c r="B29" s="168" t="str">
        <f>"The "&amp;TEXT($D$9,"0")&amp;" figures reflect the existing base and current TAP-R rates, of $"&amp;FIXED('Water Charges'!$D$43,2,TRUE)&amp;"/Mcf for water "</f>
        <v xml:space="preserve">The FY 2022 figures reflect the existing base and current TAP-R rates, of $0.69/Mcf for water </v>
      </c>
      <c r="C29" s="25"/>
      <c r="D29" s="25"/>
      <c r="E29" s="25"/>
      <c r="F29" s="25"/>
    </row>
    <row r="30" spans="2:8">
      <c r="B30" s="168" t="str">
        <f>"and $"&amp;FIXED('Wastewater Charges'!$E$45,2,TRUE)&amp;"/Mcf for sewer. "</f>
        <v xml:space="preserve">and $1.09/Mcf for sewer. </v>
      </c>
      <c r="C30" s="25"/>
      <c r="D30" s="25"/>
      <c r="E30" s="25"/>
      <c r="F30" s="25"/>
    </row>
    <row r="31" spans="2:8">
      <c r="B31" s="168" t="str">
        <f>"The "&amp;TEXT($E$9,"0")&amp;" figures reflect:  "</f>
        <v xml:space="preserve">The FY 2023 figures reflect:  </v>
      </c>
      <c r="C31" s="25"/>
      <c r="D31" s="25"/>
      <c r="E31" s="25"/>
      <c r="F31" s="25"/>
    </row>
    <row r="32" spans="2:8">
      <c r="B32" s="168" t="str">
        <f>"(1) the proposed TAP-R rates, of $"&amp;FIXED('Water Charges'!$E$43,2,TRUE)&amp;"/Mcf for water and $"&amp;FIXED('Wastewater Charges'!$F$45,2,TRUE)&amp;"/Mcf for sewer; and "</f>
        <v xml:space="preserve">(1) the proposed TAP-R rates, of $1.23/Mcf for water and $1.95/Mcf for sewer; and </v>
      </c>
      <c r="C32" s="25"/>
      <c r="D32" s="25"/>
      <c r="E32" s="25"/>
      <c r="F32" s="25"/>
    </row>
    <row r="33" spans="2:6">
      <c r="B33" s="168" t="str">
        <f>"(2) the approved "&amp;TEXT($E$9,"0")&amp;" base rates per the "&amp;TEXT(Inputs!$C$9,"0")&amp;" (subject to reconciliation). In"</f>
        <v>(2) the approved FY 2023 base rates per the 2021 Rate Determination (subject to reconciliation). In</v>
      </c>
      <c r="C33" s="25"/>
      <c r="D33" s="25"/>
      <c r="E33" s="25"/>
      <c r="F33" s="25"/>
    </row>
    <row r="34" spans="2:6">
      <c r="B34" s="168" t="s">
        <v>151</v>
      </c>
      <c r="C34" s="25"/>
      <c r="D34" s="25"/>
      <c r="E34" s="25"/>
      <c r="F34" s="25"/>
    </row>
    <row r="35" spans="2:6">
      <c r="B35" s="168" t="str">
        <f>"adjustment to the approved "&amp;TEXT($E$9,"0")&amp;" rates. "</f>
        <v xml:space="preserve">adjustment to the approved FY 2023 rates. </v>
      </c>
      <c r="C35" s="25"/>
      <c r="D35" s="25"/>
      <c r="E35" s="25"/>
      <c r="F35" s="25"/>
    </row>
    <row r="36" spans="2:6">
      <c r="B36" s="168" t="s">
        <v>147</v>
      </c>
      <c r="C36" s="25"/>
      <c r="D36" s="25"/>
      <c r="E36" s="25"/>
      <c r="F36" s="25"/>
    </row>
    <row r="37" spans="2:6">
      <c r="B37" s="168"/>
      <c r="C37" s="25"/>
      <c r="D37" s="25"/>
      <c r="E37" s="25"/>
      <c r="F37" s="25"/>
    </row>
    <row r="38" spans="2:6">
      <c r="B38" s="169" t="s">
        <v>146</v>
      </c>
      <c r="C38" s="25"/>
      <c r="D38" s="25"/>
      <c r="E38" s="25"/>
      <c r="F38" s="25"/>
    </row>
    <row r="39" spans="2:6">
      <c r="B39" s="169" t="str">
        <f>"on their total bill. The associated "&amp;TEXT($D$9,"0")&amp;" and "&amp;TEXT($E$9,"0")&amp;" bills would be $"&amp;FIXED($D$18*0.75,2,TRUE)&amp;" and 42.64, respectively. "</f>
        <v xml:space="preserve">on their total bill. The associated FY 2022 and FY 2023 bills would be $39.80 and 42.64, respectively. </v>
      </c>
      <c r="C39" s="25"/>
      <c r="D39" s="25"/>
      <c r="E39" s="25"/>
      <c r="F39" s="25"/>
    </row>
    <row r="40" spans="2:6">
      <c r="B40" s="168"/>
      <c r="C40" s="25"/>
      <c r="D40" s="25"/>
      <c r="E40" s="25"/>
      <c r="F40" s="25"/>
    </row>
    <row r="41" spans="2:6">
      <c r="B41" s="169" t="s">
        <v>17</v>
      </c>
      <c r="C41" s="25"/>
      <c r="D41" s="25"/>
      <c r="E41" s="25"/>
      <c r="F41" s="25"/>
    </row>
    <row r="42" spans="2:6">
      <c r="B42" s="138"/>
      <c r="C42" s="25"/>
      <c r="D42" s="25"/>
      <c r="E42" s="25"/>
      <c r="F42" s="25"/>
    </row>
    <row r="43" spans="2:6">
      <c r="B43" s="138"/>
      <c r="C43" s="25"/>
      <c r="D43" s="25"/>
      <c r="E43" s="25"/>
      <c r="F43" s="25"/>
    </row>
    <row r="44" spans="2:6">
      <c r="B44" s="138"/>
      <c r="C44" s="25"/>
      <c r="D44" s="25"/>
      <c r="E44" s="25"/>
      <c r="F44" s="25"/>
    </row>
    <row r="45" spans="2:6">
      <c r="B45" s="25"/>
      <c r="C45" s="25"/>
      <c r="D45" s="121"/>
      <c r="E45" s="25"/>
      <c r="F45" s="25"/>
    </row>
  </sheetData>
  <conditionalFormatting sqref="E19 E23:F23">
    <cfRule type="cellIs" dxfId="7" priority="12" operator="lessThan">
      <formula>0</formula>
    </cfRule>
  </conditionalFormatting>
  <hyperlinks>
    <hyperlink ref="A1" location="TOC!A1" display="TOC!A1" xr:uid="{00000000-0004-0000-0300-000000000000}"/>
  </hyperlinks>
  <printOptions horizontalCentered="1"/>
  <pageMargins left="1.34" right="7.0000000000000007E-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75"/>
  <sheetViews>
    <sheetView zoomScaleNormal="100" zoomScaleSheetLayoutView="100" workbookViewId="0"/>
  </sheetViews>
  <sheetFormatPr defaultRowHeight="14"/>
  <cols>
    <col min="2" max="8" width="15.7265625" customWidth="1"/>
    <col min="10" max="10" width="13.36328125" customWidth="1"/>
  </cols>
  <sheetData>
    <row r="1" spans="1:8" ht="14.5" thickBot="1">
      <c r="A1" s="134" t="s">
        <v>127</v>
      </c>
    </row>
    <row r="2" spans="1:8" ht="15.5">
      <c r="B2" s="123" t="s">
        <v>72</v>
      </c>
      <c r="C2" s="123"/>
      <c r="D2" s="123"/>
      <c r="E2" s="123"/>
      <c r="F2" s="123"/>
      <c r="G2" s="123"/>
      <c r="H2" s="123"/>
    </row>
    <row r="3" spans="1:8" ht="15.5">
      <c r="B3" s="123"/>
      <c r="C3" s="123"/>
      <c r="D3" s="123"/>
      <c r="E3" s="123"/>
      <c r="F3" s="123"/>
      <c r="G3" s="123"/>
      <c r="H3" s="123"/>
    </row>
    <row r="4" spans="1:8" ht="15.5">
      <c r="B4" s="123" t="s">
        <v>102</v>
      </c>
      <c r="C4" s="123"/>
      <c r="D4" s="123"/>
      <c r="E4" s="123"/>
      <c r="F4" s="123"/>
      <c r="G4" s="123"/>
      <c r="H4" s="123"/>
    </row>
    <row r="5" spans="1:8" ht="15.5">
      <c r="B5" s="123" t="s">
        <v>39</v>
      </c>
      <c r="C5" s="123"/>
      <c r="D5" s="123"/>
      <c r="E5" s="123"/>
      <c r="F5" s="123"/>
      <c r="G5" s="123"/>
      <c r="H5" s="123"/>
    </row>
    <row r="6" spans="1:8" ht="15.5">
      <c r="B6" s="123" t="s">
        <v>117</v>
      </c>
      <c r="C6" s="123"/>
      <c r="D6" s="123"/>
      <c r="E6" s="123"/>
      <c r="F6" s="123"/>
      <c r="G6" s="123"/>
      <c r="H6" s="123"/>
    </row>
    <row r="7" spans="1:8">
      <c r="B7" s="26"/>
      <c r="C7" s="26"/>
      <c r="D7" s="26"/>
      <c r="E7" s="26"/>
      <c r="F7" s="26"/>
      <c r="G7" s="27"/>
      <c r="H7" s="26"/>
    </row>
    <row r="8" spans="1:8" ht="14.5">
      <c r="B8" s="124">
        <v>-1</v>
      </c>
      <c r="C8" s="124">
        <v>-2</v>
      </c>
      <c r="D8" s="124">
        <v>-3</v>
      </c>
      <c r="E8" s="124">
        <v>-4</v>
      </c>
      <c r="F8" s="124">
        <v>-5</v>
      </c>
      <c r="G8" s="124">
        <v>-6</v>
      </c>
      <c r="H8" s="124">
        <v>-7</v>
      </c>
    </row>
    <row r="9" spans="1:8" ht="16">
      <c r="B9" s="124"/>
      <c r="C9" s="124"/>
      <c r="D9" s="124"/>
      <c r="E9" s="124"/>
      <c r="F9" s="125" t="str">
        <f>Inputs!$C$4</f>
        <v>FY 2022</v>
      </c>
      <c r="G9" s="126" t="str">
        <f>Inputs!$D$4</f>
        <v>FY 2023</v>
      </c>
      <c r="H9" s="126"/>
    </row>
    <row r="10" spans="1:8" ht="16">
      <c r="B10" s="124"/>
      <c r="C10" s="124"/>
      <c r="D10" s="124"/>
      <c r="E10" s="124"/>
      <c r="F10" s="125"/>
      <c r="G10" s="126"/>
      <c r="H10" s="126"/>
    </row>
    <row r="11" spans="1:8" ht="14.5">
      <c r="B11" s="127" t="s">
        <v>53</v>
      </c>
      <c r="C11" s="127" t="s">
        <v>1</v>
      </c>
      <c r="D11" s="127" t="s">
        <v>41</v>
      </c>
      <c r="E11" s="127" t="s">
        <v>44</v>
      </c>
      <c r="F11" s="128" t="s">
        <v>30</v>
      </c>
      <c r="G11" s="124" t="s">
        <v>143</v>
      </c>
      <c r="H11" s="127" t="s">
        <v>145</v>
      </c>
    </row>
    <row r="12" spans="1:8" ht="16">
      <c r="B12" s="129" t="s">
        <v>54</v>
      </c>
      <c r="C12" s="129" t="s">
        <v>31</v>
      </c>
      <c r="D12" s="129" t="s">
        <v>42</v>
      </c>
      <c r="E12" s="129" t="s">
        <v>42</v>
      </c>
      <c r="F12" s="130" t="s">
        <v>32</v>
      </c>
      <c r="G12" s="129" t="s">
        <v>32</v>
      </c>
      <c r="H12" s="129" t="s">
        <v>33</v>
      </c>
    </row>
    <row r="13" spans="1:8" ht="14.5">
      <c r="B13" s="124" t="s">
        <v>4</v>
      </c>
      <c r="C13" s="124" t="s">
        <v>34</v>
      </c>
      <c r="D13" s="124" t="s">
        <v>43</v>
      </c>
      <c r="E13" s="124" t="s">
        <v>43</v>
      </c>
      <c r="F13" s="124" t="s">
        <v>5</v>
      </c>
      <c r="G13" s="124" t="s">
        <v>5</v>
      </c>
      <c r="H13" s="124" t="s">
        <v>35</v>
      </c>
    </row>
    <row r="14" spans="1:8" ht="4.4000000000000004" customHeight="1" thickBot="1">
      <c r="B14" s="32"/>
      <c r="C14" s="25"/>
      <c r="D14" s="25"/>
      <c r="E14" s="25"/>
      <c r="F14" s="34"/>
      <c r="G14" s="34"/>
      <c r="H14" s="25"/>
    </row>
    <row r="15" spans="1:8" ht="15" thickTop="1" thickBot="1">
      <c r="B15" s="110" t="str">
        <f>+'Typical Bills WATER'!B14</f>
        <v>5/8</v>
      </c>
      <c r="C15" s="114">
        <f>+'Typical Bills WATER'!C14</f>
        <v>0</v>
      </c>
      <c r="D15" s="115">
        <f>+'Typical Non-Res Bills SW'!D14</f>
        <v>1794</v>
      </c>
      <c r="E15" s="115">
        <f>+'Typical Non-Res Bills SW'!E14</f>
        <v>2110</v>
      </c>
      <c r="F15" s="116">
        <f>+'Typical Bills WATER'!D14+'Typical Bills SANITARY'!D14+'Typical Non-Res Bills SW'!F14</f>
        <v>38.548000000000002</v>
      </c>
      <c r="G15" s="116">
        <f>+'Typical Bills WATER'!E14+'Typical Bills SANITARY'!E14+'Typical Non-Res Bills SW'!G14</f>
        <v>41.013999999999996</v>
      </c>
      <c r="H15" s="170">
        <f t="shared" ref="H15:H26" si="0">(+G15/F15-1)*100</f>
        <v>6.3972190515720451</v>
      </c>
    </row>
    <row r="16" spans="1:8" ht="15" thickTop="1" thickBot="1">
      <c r="B16" s="110" t="str">
        <f>+'Typical Bills WATER'!B15</f>
        <v>5/8</v>
      </c>
      <c r="C16" s="114">
        <f>+'Typical Bills WATER'!C15</f>
        <v>0.2</v>
      </c>
      <c r="D16" s="115">
        <f>+'Typical Non-Res Bills SW'!D14</f>
        <v>1794</v>
      </c>
      <c r="E16" s="115">
        <f>+'Typical Non-Res Bills SW'!E14</f>
        <v>2110</v>
      </c>
      <c r="F16" s="116">
        <f>+'Typical Bills WATER'!D15+'Typical Bills SANITARY'!D15+'Typical Non-Res Bills SW'!F15</f>
        <v>54.628</v>
      </c>
      <c r="G16" s="116">
        <f>+'Typical Bills WATER'!E15+'Typical Bills SANITARY'!E15+'Typical Non-Res Bills SW'!G15</f>
        <v>58.444000000000003</v>
      </c>
      <c r="H16" s="170">
        <f>(+G16/F16-1)*100</f>
        <v>6.9854287178736207</v>
      </c>
    </row>
    <row r="17" spans="2:10" ht="15" thickTop="1" thickBot="1">
      <c r="B17" s="110" t="str">
        <f>+'Typical Bills WATER'!B16</f>
        <v>5/8</v>
      </c>
      <c r="C17" s="114">
        <f>+'Typical Bills WATER'!C16</f>
        <v>0.3</v>
      </c>
      <c r="D17" s="115">
        <f>+'Typical Non-Res Bills SW'!D16</f>
        <v>1794</v>
      </c>
      <c r="E17" s="115">
        <f>+'Typical Non-Res Bills SW'!E16</f>
        <v>2110</v>
      </c>
      <c r="F17" s="116">
        <f>+'Typical Bills WATER'!D16+'Typical Bills SANITARY'!D16+'Typical Non-Res Bills SW'!F16</f>
        <v>62.657999999999994</v>
      </c>
      <c r="G17" s="116">
        <f>+'Typical Bills WATER'!E16+'Typical Bills SANITARY'!E16+'Typical Non-Res Bills SW'!G16</f>
        <v>67.174000000000007</v>
      </c>
      <c r="H17" s="170">
        <f t="shared" si="0"/>
        <v>7.2073797440071807</v>
      </c>
    </row>
    <row r="18" spans="2:10" ht="15" thickTop="1" thickBot="1">
      <c r="B18" s="110" t="str">
        <f>+'Typical Bills WATER'!B17</f>
        <v>5/8</v>
      </c>
      <c r="C18" s="114">
        <f>+'Typical Bills WATER'!C17</f>
        <v>0.4</v>
      </c>
      <c r="D18" s="115">
        <f>+'Typical Non-Res Bills SW'!D17</f>
        <v>1794</v>
      </c>
      <c r="E18" s="115">
        <f>+'Typical Non-Res Bills SW'!E17</f>
        <v>2110</v>
      </c>
      <c r="F18" s="116">
        <f>+'Typical Bills WATER'!D17+'Typical Bills SANITARY'!D17+'Typical Non-Res Bills SW'!F17</f>
        <v>70.698000000000008</v>
      </c>
      <c r="G18" s="116">
        <f>+'Typical Bills WATER'!E17+'Typical Bills SANITARY'!E17+'Typical Non-Res Bills SW'!G17</f>
        <v>75.884</v>
      </c>
      <c r="H18" s="170">
        <f>(+G18/F18-1)*100</f>
        <v>7.3354267447452326</v>
      </c>
    </row>
    <row r="19" spans="2:10" ht="15" thickTop="1" thickBot="1">
      <c r="B19" s="141" t="str">
        <f>+'Typical Bills WATER'!B18</f>
        <v>5/8</v>
      </c>
      <c r="C19" s="158">
        <f>+'Typical Bills WATER'!C18</f>
        <v>0.5</v>
      </c>
      <c r="D19" s="159">
        <f>+'Typical Non-Res Bills SW'!D18</f>
        <v>1794</v>
      </c>
      <c r="E19" s="159">
        <f>+'Typical Non-Res Bills SW'!E18</f>
        <v>2110</v>
      </c>
      <c r="F19" s="160">
        <f>+'Typical Bills WATER'!D18+'Typical Bills SANITARY'!D18+'Typical Non-Res Bills SW'!F18</f>
        <v>78.738</v>
      </c>
      <c r="G19" s="160">
        <f>+'Typical Bills WATER'!E18+'Typical Bills SANITARY'!E18+'Typical Non-Res Bills SW'!G18</f>
        <v>84.603999999999999</v>
      </c>
      <c r="H19" s="171">
        <f t="shared" si="0"/>
        <v>7.4500241306611814</v>
      </c>
    </row>
    <row r="20" spans="2:10" ht="15" thickTop="1" thickBot="1">
      <c r="B20" s="154" t="str">
        <f>+'Typical Bills WATER'!B19</f>
        <v>5/8</v>
      </c>
      <c r="C20" s="164">
        <f>+'Typical Bills WATER'!C19</f>
        <v>0.6</v>
      </c>
      <c r="D20" s="165">
        <f>+'Typical Non-Res Bills SW'!D19</f>
        <v>4000</v>
      </c>
      <c r="E20" s="165">
        <f>+'Typical Non-Res Bills SW'!E19</f>
        <v>5500</v>
      </c>
      <c r="F20" s="166">
        <f>+'Typical Bills WATER'!D19+'Typical Bills SANITARY'!D19+'Typical Non-Res Bills SW'!F19</f>
        <v>111.59</v>
      </c>
      <c r="G20" s="166">
        <f>+'Typical Bills WATER'!E19+'Typical Bills SANITARY'!E19+'Typical Non-Res Bills SW'!G19</f>
        <v>120.12200000000001</v>
      </c>
      <c r="H20" s="172">
        <f t="shared" si="0"/>
        <v>7.6458464020073613</v>
      </c>
      <c r="I20" s="153" t="s">
        <v>150</v>
      </c>
      <c r="J20" s="21"/>
    </row>
    <row r="21" spans="2:10" ht="15" thickTop="1" thickBot="1">
      <c r="B21" s="145" t="str">
        <f>+'Typical Bills WATER'!B20</f>
        <v>5/8</v>
      </c>
      <c r="C21" s="161">
        <f>+'Typical Bills WATER'!C20</f>
        <v>0.7</v>
      </c>
      <c r="D21" s="162">
        <f>+'Typical Non-Res Bills SW'!D20</f>
        <v>4000</v>
      </c>
      <c r="E21" s="162">
        <f>+'Typical Non-Res Bills SW'!E20</f>
        <v>5500</v>
      </c>
      <c r="F21" s="163">
        <f>+'Typical Bills WATER'!D20+'Typical Bills SANITARY'!D20+'Typical Non-Res Bills SW'!F20</f>
        <v>119.63</v>
      </c>
      <c r="G21" s="163">
        <f>+'Typical Bills WATER'!E20+'Typical Bills SANITARY'!E20+'Typical Non-Res Bills SW'!G20</f>
        <v>128.84200000000001</v>
      </c>
      <c r="H21" s="173">
        <f t="shared" si="0"/>
        <v>7.7004095962551311</v>
      </c>
    </row>
    <row r="22" spans="2:10" ht="15" thickTop="1" thickBot="1">
      <c r="B22" s="110" t="str">
        <f>+'Typical Bills WATER'!B21</f>
        <v>5/8</v>
      </c>
      <c r="C22" s="114">
        <f>+'Typical Bills WATER'!C21</f>
        <v>0.8</v>
      </c>
      <c r="D22" s="115">
        <f>+'Typical Non-Res Bills SW'!D21</f>
        <v>26000</v>
      </c>
      <c r="E22" s="115">
        <f>+'Typical Non-Res Bills SW'!E21</f>
        <v>38000</v>
      </c>
      <c r="F22" s="116">
        <f>+'Typical Bills WATER'!D21+'Typical Bills SANITARY'!D21+'Typical Non-Res Bills SW'!F21</f>
        <v>399.86800000000005</v>
      </c>
      <c r="G22" s="116">
        <f>+'Typical Bills WATER'!E21+'Typical Bills SANITARY'!E21+'Typical Non-Res Bills SW'!G21</f>
        <v>431.66599999999994</v>
      </c>
      <c r="H22" s="170">
        <f t="shared" si="0"/>
        <v>7.9521242009862991</v>
      </c>
    </row>
    <row r="23" spans="2:10" ht="15" thickTop="1" thickBot="1">
      <c r="B23" s="110" t="str">
        <f>+'Typical Bills WATER'!B22</f>
        <v>5/8</v>
      </c>
      <c r="C23" s="114">
        <f>+'Typical Bills WATER'!C22</f>
        <v>1.7</v>
      </c>
      <c r="D23" s="115">
        <f>+'Typical Non-Res Bills SW'!D22</f>
        <v>26000</v>
      </c>
      <c r="E23" s="115">
        <f>+'Typical Non-Res Bills SW'!E22</f>
        <v>38000</v>
      </c>
      <c r="F23" s="116">
        <f>+'Typical Bills WATER'!D22+'Typical Bills SANITARY'!D22+'Typical Non-Res Bills SW'!F22</f>
        <v>472.21800000000002</v>
      </c>
      <c r="G23" s="116">
        <f>+'Typical Bills WATER'!E22+'Typical Bills SANITARY'!E22+'Typical Non-Res Bills SW'!G22</f>
        <v>510.11599999999999</v>
      </c>
      <c r="H23" s="170">
        <f t="shared" si="0"/>
        <v>8.0255305812146016</v>
      </c>
    </row>
    <row r="24" spans="2:10" ht="15" thickTop="1" thickBot="1">
      <c r="B24" s="110" t="str">
        <f>+'Typical Bills WATER'!B23</f>
        <v>5/8</v>
      </c>
      <c r="C24" s="114">
        <f>+'Typical Bills WATER'!C23</f>
        <v>2.7</v>
      </c>
      <c r="D24" s="115">
        <f>+'Typical Non-Res Bills SW'!D23</f>
        <v>4000</v>
      </c>
      <c r="E24" s="115">
        <f>+'Typical Non-Res Bills SW'!E23</f>
        <v>5500</v>
      </c>
      <c r="F24" s="116">
        <f>+'Typical Bills WATER'!D23+'Typical Bills SANITARY'!D23+'Typical Non-Res Bills SW'!F23</f>
        <v>277.82</v>
      </c>
      <c r="G24" s="116">
        <f>+'Typical Bills WATER'!E23+'Typical Bills SANITARY'!E23+'Typical Non-Res Bills SW'!G23</f>
        <v>300.38200000000001</v>
      </c>
      <c r="H24" s="170">
        <f t="shared" si="0"/>
        <v>8.1210855949895624</v>
      </c>
    </row>
    <row r="25" spans="2:10" ht="15" thickTop="1" thickBot="1">
      <c r="B25" s="110" t="str">
        <f>+'Typical Bills WATER'!B24</f>
        <v>5/8</v>
      </c>
      <c r="C25" s="114">
        <f>+'Typical Bills WATER'!C24</f>
        <v>3.3</v>
      </c>
      <c r="D25" s="115">
        <f>+'Typical Non-Res Bills SW'!D24</f>
        <v>4000</v>
      </c>
      <c r="E25" s="115">
        <f>+'Typical Non-Res Bills SW'!E24</f>
        <v>5500</v>
      </c>
      <c r="F25" s="116">
        <f>+'Typical Bills WATER'!D24+'Typical Bills SANITARY'!D24+'Typical Non-Res Bills SW'!F24</f>
        <v>323.86</v>
      </c>
      <c r="G25" s="116">
        <f>+'Typical Bills WATER'!E24+'Typical Bills SANITARY'!E24+'Typical Non-Res Bills SW'!G24</f>
        <v>350.30199999999996</v>
      </c>
      <c r="H25" s="170">
        <f t="shared" si="0"/>
        <v>8.1646390415611503</v>
      </c>
    </row>
    <row r="26" spans="2:10" ht="15" thickTop="1" thickBot="1">
      <c r="B26" s="110" t="str">
        <f>+'Typical Bills WATER'!B25</f>
        <v>5/8</v>
      </c>
      <c r="C26" s="114">
        <f>+'Typical Bills WATER'!C25</f>
        <v>11</v>
      </c>
      <c r="D26" s="115">
        <f>+'Typical Non-Res Bills SW'!D25</f>
        <v>7000</v>
      </c>
      <c r="E26" s="115">
        <f>+'Typical Non-Res Bills SW'!E25</f>
        <v>11000</v>
      </c>
      <c r="F26" s="116">
        <f>+'Typical Bills WATER'!D25+'Typical Bills SANITARY'!D25+'Typical Non-Res Bills SW'!F25</f>
        <v>953.26599999999996</v>
      </c>
      <c r="G26" s="116">
        <f>+'Typical Bills WATER'!E25+'Typical Bills SANITARY'!E25+'Typical Non-Res Bills SW'!G25</f>
        <v>1032.5619999999999</v>
      </c>
      <c r="H26" s="170">
        <f t="shared" si="0"/>
        <v>8.3183497575702869</v>
      </c>
    </row>
    <row r="27" spans="2:10" ht="4.4000000000000004" customHeight="1" thickTop="1" thickBot="1">
      <c r="B27" s="117"/>
      <c r="C27" s="118"/>
      <c r="D27" s="119"/>
      <c r="E27" s="119"/>
      <c r="F27" s="120"/>
      <c r="G27" s="120"/>
      <c r="H27" s="174"/>
    </row>
    <row r="28" spans="2:10" ht="15" thickTop="1" thickBot="1">
      <c r="B28" s="110">
        <f>+'Typical Bills WATER'!B27</f>
        <v>1</v>
      </c>
      <c r="C28" s="114">
        <f>+'Typical Bills WATER'!C27</f>
        <v>1.7</v>
      </c>
      <c r="D28" s="115">
        <f>+'Typical Non-Res Bills SW'!D27</f>
        <v>7700</v>
      </c>
      <c r="E28" s="115">
        <f>+'Typical Non-Res Bills SW'!E27</f>
        <v>7900</v>
      </c>
      <c r="F28" s="116">
        <f>+'Typical Bills WATER'!D27+'Typical Bills SANITARY'!D27+'Typical Non-Res Bills SW'!F27</f>
        <v>252.32599999999999</v>
      </c>
      <c r="G28" s="116">
        <f>+'Typical Bills WATER'!E27+'Typical Bills SANITARY'!E27+'Typical Non-Res Bills SW'!G27</f>
        <v>272.35000000000002</v>
      </c>
      <c r="H28" s="170">
        <f>(+G28/F28-1)*100</f>
        <v>7.9357656365178553</v>
      </c>
    </row>
    <row r="29" spans="2:10" ht="15" thickTop="1" thickBot="1">
      <c r="B29" s="110">
        <f>+'Typical Bills WATER'!B28</f>
        <v>1</v>
      </c>
      <c r="C29" s="114">
        <f>+'Typical Bills WATER'!C28</f>
        <v>5</v>
      </c>
      <c r="D29" s="115">
        <f>+'Typical Non-Res Bills SW'!D28</f>
        <v>22500</v>
      </c>
      <c r="E29" s="115">
        <f>+'Typical Non-Res Bills SW'!E28</f>
        <v>24000</v>
      </c>
      <c r="F29" s="116">
        <f>+'Typical Bills WATER'!D28+'Typical Bills SANITARY'!D28+'Typical Non-Res Bills SW'!F28</f>
        <v>678.15699999999993</v>
      </c>
      <c r="G29" s="116">
        <f>+'Typical Bills WATER'!E28+'Typical Bills SANITARY'!E28+'Typical Non-Res Bills SW'!G28</f>
        <v>733.38200000000006</v>
      </c>
      <c r="H29" s="170">
        <f>(+G29/F29-1)*100</f>
        <v>8.1433945236870198</v>
      </c>
    </row>
    <row r="30" spans="2:10" ht="15" thickTop="1" thickBot="1">
      <c r="B30" s="110">
        <f>+'Typical Bills WATER'!B29</f>
        <v>1</v>
      </c>
      <c r="C30" s="114">
        <f>+'Typical Bills WATER'!C29</f>
        <v>8</v>
      </c>
      <c r="D30" s="115">
        <f>+'Typical Non-Res Bills SW'!D29</f>
        <v>7700</v>
      </c>
      <c r="E30" s="115">
        <f>+'Typical Non-Res Bills SW'!E29</f>
        <v>7900</v>
      </c>
      <c r="F30" s="116">
        <f>+'Typical Bills WATER'!D29+'Typical Bills SANITARY'!D29+'Typical Non-Res Bills SW'!F29</f>
        <v>736.75600000000009</v>
      </c>
      <c r="G30" s="116">
        <f>+'Typical Bills WATER'!E29+'Typical Bills SANITARY'!E29+'Typical Non-Res Bills SW'!G29</f>
        <v>797.58</v>
      </c>
      <c r="H30" s="170">
        <f>(+G30/F30-1)*100</f>
        <v>8.2556504460092661</v>
      </c>
    </row>
    <row r="31" spans="2:10" ht="15" thickTop="1" thickBot="1">
      <c r="B31" s="110">
        <f>+'Typical Bills WATER'!B30</f>
        <v>1</v>
      </c>
      <c r="C31" s="114">
        <f>+'Typical Bills WATER'!C30</f>
        <v>17</v>
      </c>
      <c r="D31" s="115">
        <f>+'Typical Non-Res Bills SW'!D30</f>
        <v>22500</v>
      </c>
      <c r="E31" s="115">
        <f>+'Typical Non-Res Bills SW'!E30</f>
        <v>24000</v>
      </c>
      <c r="F31" s="116">
        <f>+'Typical Bills WATER'!D30+'Typical Bills SANITARY'!D30+'Typical Non-Res Bills SW'!F30</f>
        <v>1598.797</v>
      </c>
      <c r="G31" s="116">
        <f>+'Typical Bills WATER'!E30+'Typical Bills SANITARY'!E30+'Typical Non-Res Bills SW'!G30</f>
        <v>1731.5419999999999</v>
      </c>
      <c r="H31" s="170">
        <f>(+G31/F31-1)*100</f>
        <v>8.3028051716384166</v>
      </c>
    </row>
    <row r="32" spans="2:10" ht="4.4000000000000004" customHeight="1" thickTop="1" thickBot="1">
      <c r="B32" s="117"/>
      <c r="C32" s="118"/>
      <c r="D32" s="119"/>
      <c r="E32" s="119"/>
      <c r="F32" s="120"/>
      <c r="G32" s="120"/>
      <c r="H32" s="174"/>
    </row>
    <row r="33" spans="2:8" ht="15" thickTop="1" thickBot="1">
      <c r="B33" s="110">
        <f>+'Typical Bills WATER'!B32</f>
        <v>2</v>
      </c>
      <c r="C33" s="114">
        <f>+'Typical Bills WATER'!C32</f>
        <v>7.6</v>
      </c>
      <c r="D33" s="115">
        <f>+'Typical Non-Res Bills SW'!D32</f>
        <v>1063</v>
      </c>
      <c r="E33" s="115">
        <f>+'Typical Non-Res Bills SW'!E32</f>
        <v>1250</v>
      </c>
      <c r="F33" s="116">
        <f>+'Typical Bills WATER'!D32+'Typical Bills SANITARY'!D32+'Typical Non-Res Bills SW'!F32</f>
        <v>658.75300000000004</v>
      </c>
      <c r="G33" s="116">
        <f>+'Typical Bills WATER'!E32+'Typical Bills SANITARY'!E32+'Typical Non-Res Bills SW'!G32</f>
        <v>712.6</v>
      </c>
      <c r="H33" s="170">
        <f>(+G33/F33-1)*100</f>
        <v>8.1740804216451366</v>
      </c>
    </row>
    <row r="34" spans="2:8" ht="15" thickTop="1" thickBot="1">
      <c r="B34" s="110">
        <f>+'Typical Bills WATER'!B33</f>
        <v>2</v>
      </c>
      <c r="C34" s="114">
        <f>+'Typical Bills WATER'!C33</f>
        <v>16</v>
      </c>
      <c r="D34" s="115">
        <f>+'Typical Non-Res Bills SW'!D33</f>
        <v>22500</v>
      </c>
      <c r="E34" s="115">
        <f>+'Typical Non-Res Bills SW'!E33</f>
        <v>24000</v>
      </c>
      <c r="F34" s="116">
        <f>+'Typical Bills WATER'!D33+'Typical Bills SANITARY'!D33+'Typical Non-Res Bills SW'!F33</f>
        <v>1550.6970000000001</v>
      </c>
      <c r="G34" s="116">
        <f>+'Typical Bills WATER'!E33+'Typical Bills SANITARY'!E33+'Typical Non-Res Bills SW'!G33</f>
        <v>1678.6819999999998</v>
      </c>
      <c r="H34" s="170">
        <f>(+G34/F34-1)*100</f>
        <v>8.253385413140002</v>
      </c>
    </row>
    <row r="35" spans="2:8" ht="15" thickTop="1" thickBot="1">
      <c r="B35" s="110">
        <f>+'Typical Bills WATER'!B34</f>
        <v>2</v>
      </c>
      <c r="C35" s="114">
        <f>+'Typical Bills WATER'!C34</f>
        <v>33</v>
      </c>
      <c r="D35" s="115">
        <f>+'Typical Non-Res Bills SW'!D34</f>
        <v>66500</v>
      </c>
      <c r="E35" s="115">
        <f>+'Typical Non-Res Bills SW'!E34</f>
        <v>80000</v>
      </c>
      <c r="F35" s="116">
        <f>+'Typical Bills WATER'!D34+'Typical Bills SANITARY'!D34+'Typical Non-Res Bills SW'!F34</f>
        <v>3386.3209999999999</v>
      </c>
      <c r="G35" s="116">
        <f>+'Typical Bills WATER'!E34+'Typical Bills SANITARY'!E34+'Typical Non-Res Bills SW'!G34</f>
        <v>3666.8380000000002</v>
      </c>
      <c r="H35" s="170">
        <f>(+G35/F35-1)*100</f>
        <v>8.2838277883284128</v>
      </c>
    </row>
    <row r="36" spans="2:8" ht="15" thickTop="1" thickBot="1">
      <c r="B36" s="110">
        <f>+'Typical Bills WATER'!B35</f>
        <v>2</v>
      </c>
      <c r="C36" s="114">
        <f>+'Typical Bills WATER'!C35</f>
        <v>100</v>
      </c>
      <c r="D36" s="115">
        <f>+'Typical Non-Res Bills SW'!D35</f>
        <v>7700</v>
      </c>
      <c r="E36" s="115">
        <f>+'Typical Non-Res Bills SW'!E35</f>
        <v>7900</v>
      </c>
      <c r="F36" s="116">
        <f>+'Typical Bills WATER'!D35+'Typical Bills SANITARY'!D35+'Typical Non-Res Bills SW'!F35</f>
        <v>7823.6159999999991</v>
      </c>
      <c r="G36" s="116">
        <f>+'Typical Bills WATER'!E35+'Typical Bills SANITARY'!E35+'Typical Non-Res Bills SW'!G35</f>
        <v>8480.4599999999991</v>
      </c>
      <c r="H36" s="170">
        <f>(+G36/F36-1)*100</f>
        <v>8.3956574555806398</v>
      </c>
    </row>
    <row r="37" spans="2:8" ht="4.4000000000000004" customHeight="1" thickTop="1" thickBot="1">
      <c r="B37" s="117"/>
      <c r="C37" s="118"/>
      <c r="D37" s="119"/>
      <c r="E37" s="119"/>
      <c r="F37" s="120"/>
      <c r="G37" s="120"/>
      <c r="H37" s="174"/>
    </row>
    <row r="38" spans="2:8" ht="15" thickTop="1" thickBot="1">
      <c r="B38" s="110">
        <f>+'Typical Bills WATER'!B37</f>
        <v>4</v>
      </c>
      <c r="C38" s="114">
        <f>+'Typical Bills WATER'!C37</f>
        <v>30</v>
      </c>
      <c r="D38" s="115">
        <f>+'Typical Non-Res Bills SW'!D37</f>
        <v>7700</v>
      </c>
      <c r="E38" s="115">
        <f>+'Typical Non-Res Bills SW'!E37</f>
        <v>7900</v>
      </c>
      <c r="F38" s="116">
        <f>+'Typical Bills WATER'!D37+'Typical Bills SANITARY'!D37+'Typical Non-Res Bills SW'!F37</f>
        <v>2551.1260000000002</v>
      </c>
      <c r="G38" s="116">
        <f>+'Typical Bills WATER'!E37+'Typical Bills SANITARY'!E37+'Typical Non-Res Bills SW'!G37</f>
        <v>2761.1899999999996</v>
      </c>
      <c r="H38" s="170">
        <f>(+G38/F38-1)*100</f>
        <v>8.2341679713193052</v>
      </c>
    </row>
    <row r="39" spans="2:8" ht="15" thickTop="1" thickBot="1">
      <c r="B39" s="110">
        <f>+'Typical Bills WATER'!B38</f>
        <v>4</v>
      </c>
      <c r="C39" s="114">
        <f>+'Typical Bills WATER'!C38</f>
        <v>170</v>
      </c>
      <c r="D39" s="115">
        <f>+'Typical Non-Res Bills SW'!D38</f>
        <v>10500</v>
      </c>
      <c r="E39" s="115">
        <f>+'Typical Non-Res Bills SW'!E38</f>
        <v>12000</v>
      </c>
      <c r="F39" s="116">
        <f>+'Typical Bills WATER'!D38+'Typical Bills SANITARY'!D38+'Typical Non-Res Bills SW'!F38</f>
        <v>12659.003000000001</v>
      </c>
      <c r="G39" s="116">
        <f>+'Typical Bills WATER'!E38+'Typical Bills SANITARY'!E38+'Typical Non-Res Bills SW'!G38</f>
        <v>13727.691999999999</v>
      </c>
      <c r="H39" s="170">
        <f>(+G39/F39-1)*100</f>
        <v>8.4421261295221974</v>
      </c>
    </row>
    <row r="40" spans="2:8" ht="15" thickTop="1" thickBot="1">
      <c r="B40" s="110">
        <f>+'Typical Bills WATER'!B39</f>
        <v>4</v>
      </c>
      <c r="C40" s="114">
        <f>+'Typical Bills WATER'!C39</f>
        <v>330</v>
      </c>
      <c r="D40" s="115">
        <f>+'Typical Non-Res Bills SW'!D39</f>
        <v>26000</v>
      </c>
      <c r="E40" s="115">
        <f>+'Typical Non-Res Bills SW'!E39</f>
        <v>38000</v>
      </c>
      <c r="F40" s="116">
        <f>+'Typical Bills WATER'!D39+'Typical Bills SANITARY'!D39+'Typical Non-Res Bills SW'!F39</f>
        <v>23612.078000000001</v>
      </c>
      <c r="G40" s="116">
        <f>+'Typical Bills WATER'!E39+'Typical Bills SANITARY'!E39+'Typical Non-Res Bills SW'!G39</f>
        <v>25619.766</v>
      </c>
      <c r="H40" s="170">
        <f>(+G40/F40-1)*100</f>
        <v>8.502800981768722</v>
      </c>
    </row>
    <row r="41" spans="2:8" ht="15" thickTop="1" thickBot="1">
      <c r="B41" s="110">
        <f>+'Typical Bills WATER'!B40</f>
        <v>4</v>
      </c>
      <c r="C41" s="114">
        <f>+'Typical Bills WATER'!C40</f>
        <v>500</v>
      </c>
      <c r="D41" s="115">
        <f>+'Typical Non-Res Bills SW'!D40</f>
        <v>140000</v>
      </c>
      <c r="E41" s="115">
        <f>+'Typical Non-Res Bills SW'!E40</f>
        <v>160000</v>
      </c>
      <c r="F41" s="116">
        <f>+'Typical Bills WATER'!D40+'Typical Bills SANITARY'!D40+'Typical Non-Res Bills SW'!F40</f>
        <v>36384.51</v>
      </c>
      <c r="G41" s="116">
        <f>+'Typical Bills WATER'!E40+'Typical Bills SANITARY'!E40+'Typical Non-Res Bills SW'!G40</f>
        <v>39480.99</v>
      </c>
      <c r="H41" s="170">
        <f>(+G41/F41-1)*100</f>
        <v>8.5104347976652672</v>
      </c>
    </row>
    <row r="42" spans="2:8" ht="4.4000000000000004" customHeight="1" thickTop="1" thickBot="1">
      <c r="B42" s="117"/>
      <c r="C42" s="118"/>
      <c r="D42" s="119"/>
      <c r="E42" s="119"/>
      <c r="F42" s="120"/>
      <c r="G42" s="120"/>
      <c r="H42" s="174"/>
    </row>
    <row r="43" spans="2:8" ht="15" thickTop="1" thickBot="1">
      <c r="B43" s="110">
        <f>+'Typical Bills WATER'!B42</f>
        <v>6</v>
      </c>
      <c r="C43" s="114">
        <f>+'Typical Bills WATER'!C42</f>
        <v>150</v>
      </c>
      <c r="D43" s="115">
        <f>+'Typical Non-Res Bills SW'!D42</f>
        <v>10500</v>
      </c>
      <c r="E43" s="115">
        <f>+'Typical Non-Res Bills SW'!E42</f>
        <v>12000</v>
      </c>
      <c r="F43" s="116">
        <f>+'Typical Bills WATER'!D42+'Typical Bills SANITARY'!D42+'Typical Non-Res Bills SW'!F42</f>
        <v>11453.342999999999</v>
      </c>
      <c r="G43" s="116">
        <f>+'Typical Bills WATER'!E42+'Typical Bills SANITARY'!E42+'Typical Non-Res Bills SW'!G42</f>
        <v>12414.492</v>
      </c>
      <c r="H43" s="170">
        <f>(+G43/F43-1)*100</f>
        <v>8.3918642792763833</v>
      </c>
    </row>
    <row r="44" spans="2:8" ht="15" thickTop="1" thickBot="1">
      <c r="B44" s="110">
        <f>+'Typical Bills WATER'!B43</f>
        <v>6</v>
      </c>
      <c r="C44" s="114">
        <f>+'Typical Bills WATER'!C43</f>
        <v>500</v>
      </c>
      <c r="D44" s="115">
        <f>+'Typical Non-Res Bills SW'!D43</f>
        <v>41750</v>
      </c>
      <c r="E44" s="115">
        <f>+'Typical Non-Res Bills SW'!E43</f>
        <v>45500</v>
      </c>
      <c r="F44" s="116">
        <f>+'Typical Bills WATER'!D43+'Typical Bills SANITARY'!D43+'Typical Non-Res Bills SW'!F43</f>
        <v>35354.721999999994</v>
      </c>
      <c r="G44" s="116">
        <f>+'Typical Bills WATER'!E43+'Typical Bills SANITARY'!E43+'Typical Non-Res Bills SW'!G43</f>
        <v>38365.158000000003</v>
      </c>
      <c r="H44" s="170">
        <f>(+G44/F44-1)*100</f>
        <v>8.514947451715237</v>
      </c>
    </row>
    <row r="45" spans="2:8" ht="15" thickTop="1" thickBot="1">
      <c r="B45" s="110">
        <f>+'Typical Bills WATER'!B44</f>
        <v>6</v>
      </c>
      <c r="C45" s="114">
        <f>+'Typical Bills WATER'!C44</f>
        <v>1000</v>
      </c>
      <c r="D45" s="115">
        <f>+'Typical Non-Res Bills SW'!D44</f>
        <v>26000</v>
      </c>
      <c r="E45" s="115">
        <f>+'Typical Non-Res Bills SW'!E44</f>
        <v>38000</v>
      </c>
      <c r="F45" s="116">
        <f>+'Typical Bills WATER'!D44+'Typical Bills SANITARY'!D44+'Typical Non-Res Bills SW'!F44</f>
        <v>68795.117999999988</v>
      </c>
      <c r="G45" s="116">
        <f>+'Typical Bills WATER'!E44+'Typical Bills SANITARY'!E44+'Typical Non-Res Bills SW'!G44</f>
        <v>74676.565999999992</v>
      </c>
      <c r="H45" s="170">
        <f>(+G45/F45-1)*100</f>
        <v>8.5492229259640276</v>
      </c>
    </row>
    <row r="46" spans="2:8" ht="15" thickTop="1" thickBot="1">
      <c r="B46" s="110">
        <f>+'Typical Bills WATER'!B45</f>
        <v>6</v>
      </c>
      <c r="C46" s="114">
        <f>+'Typical Bills WATER'!C45</f>
        <v>1500</v>
      </c>
      <c r="D46" s="115">
        <f>+'Typical Non-Res Bills SW'!D45</f>
        <v>140000</v>
      </c>
      <c r="E46" s="115">
        <f>+'Typical Non-Res Bills SW'!E45</f>
        <v>160000</v>
      </c>
      <c r="F46" s="116">
        <f>+'Typical Bills WATER'!D45+'Typical Bills SANITARY'!D45+'Typical Non-Res Bills SW'!F45</f>
        <v>103753.45</v>
      </c>
      <c r="G46" s="116">
        <f>+'Typical Bills WATER'!E45+'Typical Bills SANITARY'!E45+'Typical Non-Res Bills SW'!G45</f>
        <v>112627.79</v>
      </c>
      <c r="H46" s="170">
        <f>(+G46/F46-1)*100</f>
        <v>8.553296300026636</v>
      </c>
    </row>
    <row r="47" spans="2:8" ht="4.4000000000000004" customHeight="1" thickTop="1" thickBot="1">
      <c r="B47" s="117"/>
      <c r="C47" s="118"/>
      <c r="D47" s="119"/>
      <c r="E47" s="119"/>
      <c r="F47" s="120"/>
      <c r="G47" s="120"/>
      <c r="H47" s="174"/>
    </row>
    <row r="48" spans="2:8" ht="15" thickTop="1" thickBot="1">
      <c r="B48" s="110">
        <f>+'Typical Bills WATER'!B47</f>
        <v>8</v>
      </c>
      <c r="C48" s="114">
        <f>+'Typical Bills WATER'!C47</f>
        <v>750</v>
      </c>
      <c r="D48" s="115">
        <f>+'Typical Non-Res Bills SW'!D47</f>
        <v>10500</v>
      </c>
      <c r="E48" s="115">
        <f>+'Typical Non-Res Bills SW'!E47</f>
        <v>12000</v>
      </c>
      <c r="F48" s="116">
        <f>+'Typical Bills WATER'!D47+'Typical Bills SANITARY'!D47+'Typical Non-Res Bills SW'!F47</f>
        <v>51953.623</v>
      </c>
      <c r="G48" s="116">
        <f>+'Typical Bills WATER'!E47+'Typical Bills SANITARY'!E47+'Typical Non-Res Bills SW'!G47</f>
        <v>56386.131999999998</v>
      </c>
      <c r="H48" s="170">
        <f>(+G48/F48-1)*100</f>
        <v>8.5316648657977048</v>
      </c>
    </row>
    <row r="49" spans="2:10" ht="15" thickTop="1" thickBot="1">
      <c r="B49" s="110">
        <f>+'Typical Bills WATER'!B48</f>
        <v>8</v>
      </c>
      <c r="C49" s="114">
        <f>+'Typical Bills WATER'!C48</f>
        <v>1500</v>
      </c>
      <c r="D49" s="115">
        <f>+'Typical Non-Res Bills SW'!D48</f>
        <v>66500</v>
      </c>
      <c r="E49" s="115">
        <f>+'Typical Non-Res Bills SW'!E48</f>
        <v>80000</v>
      </c>
      <c r="F49" s="116">
        <f>+'Typical Bills WATER'!D48+'Typical Bills SANITARY'!D48+'Typical Non-Res Bills SW'!F48</f>
        <v>103047.69099999999</v>
      </c>
      <c r="G49" s="116">
        <f>+'Typical Bills WATER'!E48+'Typical Bills SANITARY'!E48+'Typical Non-Res Bills SW'!G48</f>
        <v>111861.66800000001</v>
      </c>
      <c r="H49" s="170">
        <f>(+G49/F49-1)*100</f>
        <v>8.5532988798361576</v>
      </c>
    </row>
    <row r="50" spans="2:10" ht="15" thickTop="1" thickBot="1">
      <c r="B50" s="110">
        <f>+'Typical Bills WATER'!B49</f>
        <v>8</v>
      </c>
      <c r="C50" s="114">
        <f>+'Typical Bills WATER'!C49</f>
        <v>2000</v>
      </c>
      <c r="D50" s="115">
        <f>+'Typical Non-Res Bills SW'!D49</f>
        <v>26000</v>
      </c>
      <c r="E50" s="115">
        <f>+'Typical Non-Res Bills SW'!E49</f>
        <v>38000</v>
      </c>
      <c r="F50" s="116">
        <f>+'Typical Bills WATER'!D49+'Typical Bills SANITARY'!D49+'Typical Non-Res Bills SW'!F49</f>
        <v>136187.39799999999</v>
      </c>
      <c r="G50" s="116">
        <f>+'Typical Bills WATER'!E49+'Typical Bills SANITARY'!E49+'Typical Non-Res Bills SW'!G49</f>
        <v>147848.20600000001</v>
      </c>
      <c r="H50" s="170">
        <f>(+G50/F50-1)*100</f>
        <v>8.5623252747659038</v>
      </c>
    </row>
    <row r="51" spans="2:10" ht="15" thickTop="1" thickBot="1">
      <c r="B51" s="110">
        <f>+'Typical Bills WATER'!B50</f>
        <v>8</v>
      </c>
      <c r="C51" s="114">
        <f>+'Typical Bills WATER'!C50</f>
        <v>3000</v>
      </c>
      <c r="D51" s="115">
        <f>+'Typical Non-Res Bills SW'!D50</f>
        <v>140000</v>
      </c>
      <c r="E51" s="115">
        <f>+'Typical Non-Res Bills SW'!E50</f>
        <v>160000</v>
      </c>
      <c r="F51" s="116">
        <f>+'Typical Bills WATER'!D50+'Typical Bills SANITARY'!D50+'Typical Non-Res Bills SW'!F50</f>
        <v>203860.72999999998</v>
      </c>
      <c r="G51" s="116">
        <f>+'Typical Bills WATER'!E50+'Typical Bills SANITARY'!E50+'Typical Non-Res Bills SW'!G50</f>
        <v>221339.43</v>
      </c>
      <c r="H51" s="170">
        <f>(+G51/F51-1)*100</f>
        <v>8.5738435254303358</v>
      </c>
    </row>
    <row r="52" spans="2:10" ht="4.4000000000000004" customHeight="1" thickTop="1" thickBot="1">
      <c r="B52" s="117"/>
      <c r="C52" s="118"/>
      <c r="D52" s="119"/>
      <c r="E52" s="119"/>
      <c r="F52" s="120"/>
      <c r="G52" s="120"/>
      <c r="H52" s="174"/>
    </row>
    <row r="53" spans="2:10" ht="15" thickTop="1" thickBot="1">
      <c r="B53" s="110">
        <f>+'Typical Bills WATER'!B52</f>
        <v>10</v>
      </c>
      <c r="C53" s="114">
        <f>+'Typical Bills WATER'!C52</f>
        <v>600</v>
      </c>
      <c r="D53" s="115">
        <f>+'Typical Non-Res Bills SW'!D52</f>
        <v>22500</v>
      </c>
      <c r="E53" s="115">
        <f>+'Typical Non-Res Bills SW'!E52</f>
        <v>24000</v>
      </c>
      <c r="F53" s="116">
        <f>+'Typical Bills WATER'!D52+'Typical Bills SANITARY'!D52+'Typical Non-Res Bills SW'!F52</f>
        <v>42209.777000000002</v>
      </c>
      <c r="G53" s="116">
        <f>+'Typical Bills WATER'!E52+'Typical Bills SANITARY'!E52+'Typical Non-Res Bills SW'!G52</f>
        <v>45799.171999999999</v>
      </c>
      <c r="H53" s="170">
        <f>(+G53/F53-1)*100</f>
        <v>8.5037051960733976</v>
      </c>
    </row>
    <row r="54" spans="2:10" ht="15" thickTop="1" thickBot="1">
      <c r="B54" s="110">
        <f>+'Typical Bills WATER'!B53</f>
        <v>10</v>
      </c>
      <c r="C54" s="114">
        <f>+'Typical Bills WATER'!C53</f>
        <v>1700</v>
      </c>
      <c r="D54" s="115">
        <f>+'Typical Non-Res Bills SW'!D53</f>
        <v>41750</v>
      </c>
      <c r="E54" s="115">
        <f>+'Typical Non-Res Bills SW'!E53</f>
        <v>45500</v>
      </c>
      <c r="F54" s="116">
        <f>+'Typical Bills WATER'!D53+'Typical Bills SANITARY'!D53+'Typical Non-Res Bills SW'!F53</f>
        <v>116393.47199999999</v>
      </c>
      <c r="G54" s="116">
        <f>+'Typical Bills WATER'!E53+'Typical Bills SANITARY'!E53+'Typical Non-Res Bills SW'!G53</f>
        <v>126348.398</v>
      </c>
      <c r="H54" s="170">
        <f>(+G54/F54-1)*100</f>
        <v>8.5528215877948899</v>
      </c>
    </row>
    <row r="55" spans="2:10" ht="15" thickTop="1" thickBot="1">
      <c r="B55" s="110">
        <f>+'Typical Bills WATER'!B54</f>
        <v>10</v>
      </c>
      <c r="C55" s="114">
        <f>+'Typical Bills WATER'!C54</f>
        <v>3300</v>
      </c>
      <c r="D55" s="115">
        <f>+'Typical Non-Res Bills SW'!D54</f>
        <v>26000</v>
      </c>
      <c r="E55" s="115">
        <f>+'Typical Non-Res Bills SW'!E54</f>
        <v>38000</v>
      </c>
      <c r="F55" s="116">
        <f>+'Typical Bills WATER'!D54+'Typical Bills SANITARY'!D54+'Typical Non-Res Bills SW'!F54</f>
        <v>222616.86800000002</v>
      </c>
      <c r="G55" s="116">
        <f>+'Typical Bills WATER'!E54+'Typical Bills SANITARY'!E54+'Typical Non-Res Bills SW'!G54</f>
        <v>241711.80599999998</v>
      </c>
      <c r="H55" s="170">
        <f>(+G55/F55-1)*100</f>
        <v>8.5774892853132556</v>
      </c>
    </row>
    <row r="56" spans="2:10" ht="15" thickTop="1" thickBot="1">
      <c r="B56" s="110">
        <f>+'Typical Bills WATER'!B55</f>
        <v>10</v>
      </c>
      <c r="C56" s="114">
        <f>+'Typical Bills WATER'!C55</f>
        <v>6000</v>
      </c>
      <c r="D56" s="115">
        <f>+'Typical Non-Res Bills SW'!D55</f>
        <v>140000</v>
      </c>
      <c r="E56" s="115">
        <f>+'Typical Non-Res Bills SW'!E55</f>
        <v>160000</v>
      </c>
      <c r="F56" s="116">
        <f>+'Typical Bills WATER'!D55+'Typical Bills SANITARY'!D55+'Typical Non-Res Bills SW'!F55</f>
        <v>403051.2</v>
      </c>
      <c r="G56" s="116">
        <f>+'Typical Bills WATER'!E55+'Typical Bills SANITARY'!E55+'Typical Non-Res Bills SW'!G55</f>
        <v>437671.03</v>
      </c>
      <c r="H56" s="170">
        <f>(+G56/F56-1)*100</f>
        <v>8.5894372724854904</v>
      </c>
    </row>
    <row r="57" spans="2:10" ht="9" customHeight="1" thickTop="1">
      <c r="B57" s="25"/>
      <c r="C57" s="25"/>
      <c r="D57" s="25"/>
      <c r="E57" s="25"/>
      <c r="F57" s="25"/>
      <c r="G57" s="25"/>
      <c r="H57" s="25"/>
    </row>
    <row r="58" spans="2:10">
      <c r="B58" s="169" t="s">
        <v>108</v>
      </c>
      <c r="C58" s="25"/>
      <c r="D58" s="25"/>
      <c r="E58" s="25"/>
      <c r="F58" s="25"/>
      <c r="G58" s="25"/>
      <c r="H58" s="25"/>
    </row>
    <row r="59" spans="2:10">
      <c r="B59" s="169" t="s">
        <v>109</v>
      </c>
      <c r="C59" s="25"/>
      <c r="D59" s="25"/>
      <c r="E59" s="25"/>
      <c r="F59" s="25"/>
      <c r="G59" s="25"/>
      <c r="H59" s="25"/>
    </row>
    <row r="60" spans="2:10">
      <c r="B60" s="139" t="str">
        <f>"(b) The "&amp;TEXT($F$9,"0")&amp;" figures reflect the existing base and current TAP-R rates, of $"&amp;FIXED('Water Charges'!$D$43,2,TRUE)&amp;"/Mcf for water and $"&amp;FIXED('Wastewater Charges'!$E$45,2,TRUE)&amp;"/Mcf for sewer. "</f>
        <v xml:space="preserve">(b) The FY 2022 figures reflect the existing base and current TAP-R rates, of $0.69/Mcf for water and $1.09/Mcf for sewer. </v>
      </c>
      <c r="C60" s="25"/>
      <c r="D60" s="25"/>
      <c r="E60" s="25"/>
      <c r="F60" s="25"/>
      <c r="G60" s="25"/>
      <c r="H60" s="25"/>
    </row>
    <row r="61" spans="2:10">
      <c r="B61" s="139" t="str">
        <f>"(c) The "&amp;TEXT($G$9,"0")&amp;" figures reflect:  "</f>
        <v xml:space="preserve">(c) The FY 2023 figures reflect:  </v>
      </c>
      <c r="C61" s="25"/>
      <c r="D61" s="25"/>
      <c r="E61" s="25"/>
      <c r="F61" s="25"/>
      <c r="G61" s="25"/>
      <c r="H61" s="25"/>
    </row>
    <row r="62" spans="2:10">
      <c r="B62" s="168" t="str">
        <f>"(1) the proposed TAP-R rates, of $"&amp;FIXED('Water Charges'!$E$43,2,TRUE)&amp;"/MCF for water and $"&amp;FIXED('Wastewater Charges'!$F$45,2,TRUE)&amp;"/Mcf for sewer; and "</f>
        <v xml:space="preserve">(1) the proposed TAP-R rates, of $1.23/MCF for water and $1.95/Mcf for sewer; and </v>
      </c>
      <c r="C62" s="25"/>
      <c r="D62" s="25"/>
      <c r="E62" s="25"/>
      <c r="F62" s="25"/>
      <c r="G62" s="25"/>
      <c r="H62" s="25"/>
      <c r="J62" s="91"/>
    </row>
    <row r="63" spans="2:10">
      <c r="B63" s="168" t="str">
        <f>"(2) the approved "&amp;TEXT($G$9,"0")&amp;" base rates per the "&amp;TEXT(Inputs!$C$9,"0")&amp;" (subject to reconciliation). In conjunction with the Special Rate "</f>
        <v xml:space="preserve">(2) the approved FY 2023 base rates per the 2021 Rate Determination (subject to reconciliation). In conjunction with the Special Rate </v>
      </c>
      <c r="C63" s="25"/>
      <c r="D63" s="25"/>
      <c r="E63" s="25"/>
      <c r="F63" s="25"/>
      <c r="G63" s="25"/>
      <c r="H63" s="25"/>
    </row>
    <row r="64" spans="2:10">
      <c r="B64" s="168" t="str">
        <f>"Reconciliation Proceeding, the Water Department proposes no adjustment to the approved "&amp;TEXT($G$9,"0")&amp;" rates."</f>
        <v>Reconciliation Proceeding, the Water Department proposes no adjustment to the approved FY 2023 rates.</v>
      </c>
      <c r="C64" s="25"/>
      <c r="D64" s="25"/>
      <c r="E64" s="25"/>
      <c r="F64" s="25"/>
      <c r="G64" s="25"/>
      <c r="H64" s="25"/>
    </row>
    <row r="65" spans="2:8">
      <c r="B65" s="139" t="s">
        <v>147</v>
      </c>
      <c r="C65" s="25"/>
      <c r="D65" s="25"/>
      <c r="E65" s="25"/>
      <c r="F65" s="25"/>
      <c r="G65" s="25"/>
      <c r="H65" s="25"/>
    </row>
    <row r="66" spans="2:8">
      <c r="B66" s="139"/>
      <c r="C66" s="25"/>
      <c r="D66" s="25"/>
      <c r="E66" s="25"/>
      <c r="F66" s="25"/>
      <c r="G66" s="25"/>
      <c r="H66" s="25"/>
    </row>
    <row r="67" spans="2:8">
      <c r="B67" s="169" t="s">
        <v>17</v>
      </c>
      <c r="C67" s="25"/>
      <c r="D67" s="25"/>
      <c r="E67" s="25"/>
      <c r="F67" s="25"/>
      <c r="G67" s="25"/>
      <c r="H67" s="25"/>
    </row>
    <row r="68" spans="2:8">
      <c r="B68" s="169" t="s">
        <v>52</v>
      </c>
      <c r="C68" s="25"/>
      <c r="D68" s="25"/>
      <c r="E68" s="25"/>
      <c r="F68" s="25"/>
      <c r="G68" s="25"/>
      <c r="H68" s="25"/>
    </row>
    <row r="69" spans="2:8" ht="14.5">
      <c r="B69" s="57"/>
    </row>
    <row r="70" spans="2:8" ht="14.5">
      <c r="B70" s="57"/>
    </row>
    <row r="71" spans="2:8" ht="14.5">
      <c r="B71" s="57"/>
    </row>
    <row r="72" spans="2:8">
      <c r="B72" s="140" t="s">
        <v>78</v>
      </c>
    </row>
    <row r="74" spans="2:8" ht="14.5">
      <c r="B74" s="55"/>
    </row>
    <row r="75" spans="2:8" ht="14.5">
      <c r="B75" s="55"/>
    </row>
  </sheetData>
  <conditionalFormatting sqref="D18:F18 D22:F22 D26:F26">
    <cfRule type="cellIs" dxfId="6" priority="70" operator="lessThan">
      <formula>0</formula>
    </cfRule>
  </conditionalFormatting>
  <conditionalFormatting sqref="D31:F31">
    <cfRule type="cellIs" dxfId="5" priority="69" operator="lessThan">
      <formula>0</formula>
    </cfRule>
  </conditionalFormatting>
  <conditionalFormatting sqref="D36:F36">
    <cfRule type="cellIs" dxfId="4" priority="68" operator="lessThan">
      <formula>0</formula>
    </cfRule>
  </conditionalFormatting>
  <conditionalFormatting sqref="D41:F41">
    <cfRule type="cellIs" dxfId="3" priority="67" operator="lessThan">
      <formula>0</formula>
    </cfRule>
  </conditionalFormatting>
  <conditionalFormatting sqref="D46:F46">
    <cfRule type="cellIs" dxfId="2" priority="66" operator="lessThan">
      <formula>0</formula>
    </cfRule>
  </conditionalFormatting>
  <conditionalFormatting sqref="D51:F51">
    <cfRule type="cellIs" dxfId="1" priority="65" operator="lessThan">
      <formula>0</formula>
    </cfRule>
  </conditionalFormatting>
  <conditionalFormatting sqref="D56:F56">
    <cfRule type="cellIs" dxfId="0" priority="64" operator="lessThan">
      <formula>0</formula>
    </cfRule>
  </conditionalFormatting>
  <hyperlinks>
    <hyperlink ref="A1" location="TOC!A1" display="TOC!A1" xr:uid="{00000000-0004-0000-0400-000000000000}"/>
  </hyperlinks>
  <printOptions horizontalCentered="1"/>
  <pageMargins left="1.05" right="0" top="0.5" bottom="0.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X57"/>
  <sheetViews>
    <sheetView workbookViewId="0"/>
  </sheetViews>
  <sheetFormatPr defaultRowHeight="14"/>
  <cols>
    <col min="4" max="4" width="9.81640625" customWidth="1"/>
    <col min="5" max="5" width="10" customWidth="1"/>
    <col min="6" max="6" width="12.54296875" customWidth="1"/>
    <col min="18" max="19" width="12.453125" customWidth="1"/>
    <col min="20" max="23" width="10" customWidth="1"/>
  </cols>
  <sheetData>
    <row r="1" spans="1:24" ht="14.5" thickBot="1">
      <c r="A1" s="134" t="s">
        <v>127</v>
      </c>
    </row>
    <row r="2" spans="1:24" ht="18">
      <c r="B2" s="24"/>
      <c r="C2" s="24"/>
      <c r="D2" s="24"/>
      <c r="E2" s="24"/>
      <c r="F2" s="24"/>
    </row>
    <row r="3" spans="1:24" ht="18">
      <c r="B3" s="24"/>
      <c r="C3" s="24"/>
      <c r="D3" s="24"/>
      <c r="E3" s="24"/>
      <c r="F3" s="24"/>
    </row>
    <row r="4" spans="1:24" ht="18">
      <c r="B4" s="24" t="s">
        <v>73</v>
      </c>
      <c r="C4" s="24"/>
      <c r="D4" s="24"/>
      <c r="E4" s="24"/>
      <c r="F4" s="24"/>
    </row>
    <row r="5" spans="1:24" ht="18">
      <c r="B5" s="24" t="s">
        <v>117</v>
      </c>
      <c r="C5" s="24"/>
      <c r="D5" s="24"/>
      <c r="E5" s="24"/>
      <c r="F5" s="24"/>
    </row>
    <row r="6" spans="1:24" ht="18">
      <c r="B6" s="187"/>
      <c r="C6" s="187"/>
      <c r="D6" s="187"/>
      <c r="E6" s="187"/>
      <c r="F6" s="187"/>
    </row>
    <row r="7" spans="1:24">
      <c r="B7" s="26"/>
      <c r="C7" s="26"/>
      <c r="D7" s="26"/>
      <c r="E7" s="27"/>
      <c r="F7" s="26"/>
    </row>
    <row r="8" spans="1:24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24" ht="15.5">
      <c r="B9" s="28"/>
      <c r="C9" s="28"/>
      <c r="D9" s="48" t="str">
        <f>Inputs!$C$4</f>
        <v>FY 2022</v>
      </c>
      <c r="E9" s="186" t="str">
        <f>Inputs!$D$4</f>
        <v>FY 2023</v>
      </c>
      <c r="F9" s="186"/>
      <c r="J9" t="s">
        <v>38</v>
      </c>
      <c r="O9" t="s">
        <v>37</v>
      </c>
      <c r="R9" t="s">
        <v>103</v>
      </c>
    </row>
    <row r="10" spans="1:24">
      <c r="B10" s="30" t="s">
        <v>53</v>
      </c>
      <c r="C10" s="30" t="s">
        <v>1</v>
      </c>
      <c r="D10" s="30" t="s">
        <v>30</v>
      </c>
      <c r="E10" s="30" t="s">
        <v>110</v>
      </c>
      <c r="F10" s="30" t="s">
        <v>124</v>
      </c>
    </row>
    <row r="11" spans="1:24" ht="15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  <c r="J11" s="37">
        <v>2</v>
      </c>
      <c r="K11" s="37">
        <v>100</v>
      </c>
      <c r="L11" s="37">
        <v>2000</v>
      </c>
      <c r="M11" s="37" t="s">
        <v>36</v>
      </c>
      <c r="O11" s="4" t="str">
        <f>Inputs!$C$4</f>
        <v>FY 2022</v>
      </c>
      <c r="P11" s="4" t="str">
        <f>Inputs!$D$4</f>
        <v>FY 2023</v>
      </c>
      <c r="R11" s="4" t="str">
        <f>Inputs!$C$4</f>
        <v>FY 2022</v>
      </c>
      <c r="S11" s="4" t="str">
        <f>Inputs!$D$4</f>
        <v>FY 2023</v>
      </c>
      <c r="T11" s="4"/>
      <c r="U11" s="4"/>
      <c r="V11" s="4"/>
      <c r="W11" s="4"/>
    </row>
    <row r="12" spans="1:24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24">
      <c r="B13" s="25"/>
      <c r="C13" s="25"/>
      <c r="D13" s="25"/>
      <c r="E13" s="25"/>
      <c r="F13" s="25"/>
    </row>
    <row r="14" spans="1:24">
      <c r="B14" s="43" t="s">
        <v>6</v>
      </c>
      <c r="C14" s="42">
        <v>0</v>
      </c>
      <c r="D14" s="34">
        <f t="shared" ref="D14:D25" si="0">+O14+R14</f>
        <v>4.9000000000000004</v>
      </c>
      <c r="E14" s="34">
        <f t="shared" ref="E14:E25" si="1">+P14+S14</f>
        <v>5</v>
      </c>
      <c r="F14" s="33">
        <f t="shared" ref="F14:F24" si="2">(+E14/D14-1)*100</f>
        <v>2.0408163265306145</v>
      </c>
      <c r="H14" s="102"/>
      <c r="J14" s="33">
        <f t="shared" ref="J14:J25" si="3">IF($C14&gt;J$11,J$11,$C14)</f>
        <v>0</v>
      </c>
      <c r="K14" s="33">
        <f>IF($C14&gt;K$11,K$11,$C14)-SUM($J14:J14)</f>
        <v>0</v>
      </c>
      <c r="L14" s="33">
        <f>IF($C14&gt;L$11,L$11,$C14)-SUM($J14:K14)</f>
        <v>0</v>
      </c>
      <c r="M14" s="33">
        <f>$C14-SUM($J14:L14)</f>
        <v>0</v>
      </c>
      <c r="O14">
        <f>SUMIF('Water Charges'!$B$14:$B$25,'Typical Bills WATER'!$B14,'Water Charges'!D$14:D$25)</f>
        <v>4.9000000000000004</v>
      </c>
      <c r="P14">
        <f>SUMIF('Water Charges'!$B$14:$B$25,'Typical Bills WATER'!$B14,'Water Charges'!E$14:E$25)</f>
        <v>5</v>
      </c>
      <c r="R14">
        <f>ROUND((SUMPRODUCT($J14:$M14,'Water Charges'!$D$49:$G$49)),2)</f>
        <v>0</v>
      </c>
      <c r="S14">
        <f>ROUND((SUMPRODUCT($J14:$M14,'Water Charges'!$D$50:$G$50)),2)</f>
        <v>0</v>
      </c>
      <c r="U14" s="102"/>
      <c r="V14" s="75"/>
      <c r="W14" s="75"/>
    </row>
    <row r="15" spans="1:24">
      <c r="A15" s="67"/>
      <c r="B15" s="43" t="s">
        <v>6</v>
      </c>
      <c r="C15" s="42">
        <v>0.2</v>
      </c>
      <c r="D15" s="36">
        <f t="shared" si="0"/>
        <v>14.24</v>
      </c>
      <c r="E15" s="36">
        <f t="shared" si="1"/>
        <v>15.09</v>
      </c>
      <c r="F15" s="33">
        <f>(+E15/D15-1)*100</f>
        <v>5.9691011235954994</v>
      </c>
      <c r="G15" s="67"/>
      <c r="H15" s="67"/>
      <c r="I15" s="67"/>
      <c r="J15" s="33">
        <f t="shared" si="3"/>
        <v>0.2</v>
      </c>
      <c r="K15" s="33">
        <f>IF($C15&gt;K$11,K$11,$C15)-SUM($J15:J15)</f>
        <v>0</v>
      </c>
      <c r="L15" s="33">
        <f>IF($C15&gt;L$11,L$11,$C15)-SUM($J15:K15)</f>
        <v>0</v>
      </c>
      <c r="M15" s="33">
        <f>$C15-SUM($J15:L15)</f>
        <v>0</v>
      </c>
      <c r="N15" s="67"/>
      <c r="O15" s="67">
        <f>SUMIF('Water Charges'!$B$14:$B$25,'Typical Bills WATER'!$B15,'Water Charges'!D$14:D$25)</f>
        <v>4.9000000000000004</v>
      </c>
      <c r="P15" s="67">
        <f>SUMIF('Water Charges'!$B$14:$B$25,'Typical Bills WATER'!$B15,'Water Charges'!E$14:E$25)</f>
        <v>5</v>
      </c>
      <c r="Q15" s="67"/>
      <c r="R15" s="103">
        <f>ROUND((SUMPRODUCT($J15:$M15,'Water Charges'!$D$49:$G$49)),2)</f>
        <v>9.34</v>
      </c>
      <c r="S15" s="103">
        <f>ROUND((SUMPRODUCT($J15:$M15,'Water Charges'!$D$50:$G$50)),2)</f>
        <v>10.09</v>
      </c>
      <c r="T15" s="67"/>
      <c r="U15" s="67"/>
      <c r="V15" s="76"/>
      <c r="W15" s="76"/>
    </row>
    <row r="16" spans="1:24">
      <c r="B16" s="43" t="s">
        <v>6</v>
      </c>
      <c r="C16" s="42">
        <v>0.3</v>
      </c>
      <c r="D16" s="34">
        <f t="shared" si="0"/>
        <v>18.899999999999999</v>
      </c>
      <c r="E16" s="34">
        <f t="shared" si="1"/>
        <v>20.14</v>
      </c>
      <c r="F16" s="33">
        <f t="shared" si="2"/>
        <v>6.5608465608465671</v>
      </c>
      <c r="J16" s="33">
        <f t="shared" si="3"/>
        <v>0.3</v>
      </c>
      <c r="K16" s="33">
        <f>IF($C16&gt;K$11,K$11,$C16)-SUM($J16:J16)</f>
        <v>0</v>
      </c>
      <c r="L16" s="33">
        <f>IF($C16&gt;L$11,L$11,$C16)-SUM($J16:K16)</f>
        <v>0</v>
      </c>
      <c r="M16" s="33">
        <f>$C16-SUM($J16:L16)</f>
        <v>0</v>
      </c>
      <c r="O16">
        <f>SUMIF('Water Charges'!$B$14:$B$25,'Typical Bills WATER'!$B16,'Water Charges'!D$14:D$25)</f>
        <v>4.9000000000000004</v>
      </c>
      <c r="P16">
        <f>SUMIF('Water Charges'!$B$14:$B$25,'Typical Bills WATER'!$B16,'Water Charges'!E$14:E$25)</f>
        <v>5</v>
      </c>
      <c r="R16" s="102">
        <f>ROUND((SUMPRODUCT($J16:$M16,'Water Charges'!$D$49:$G$49)),2)</f>
        <v>14</v>
      </c>
      <c r="S16" s="102">
        <f>ROUND((SUMPRODUCT($J16:$M16,'Water Charges'!$D$50:$G$50)),2)</f>
        <v>15.14</v>
      </c>
      <c r="V16" s="75"/>
      <c r="W16" s="75"/>
      <c r="X16" t="s">
        <v>87</v>
      </c>
    </row>
    <row r="17" spans="1:24">
      <c r="B17" s="43" t="s">
        <v>6</v>
      </c>
      <c r="C17" s="42">
        <v>0.4</v>
      </c>
      <c r="D17" s="34">
        <f t="shared" si="0"/>
        <v>23.57</v>
      </c>
      <c r="E17" s="34">
        <f t="shared" si="1"/>
        <v>25.18</v>
      </c>
      <c r="F17" s="33">
        <f>(+E17/D17-1)*100</f>
        <v>6.8307170131522987</v>
      </c>
      <c r="J17" s="33">
        <f t="shared" si="3"/>
        <v>0.4</v>
      </c>
      <c r="K17" s="33">
        <f>IF($C17&gt;K$11,K$11,$C17)-SUM($J17:J17)</f>
        <v>0</v>
      </c>
      <c r="L17" s="33">
        <f>IF($C17&gt;L$11,L$11,$C17)-SUM($J17:K17)</f>
        <v>0</v>
      </c>
      <c r="M17" s="33">
        <f>$C17-SUM($J17:L17)</f>
        <v>0</v>
      </c>
      <c r="O17">
        <f>SUMIF('Water Charges'!$B$14:$B$25,'Typical Bills WATER'!$B17,'Water Charges'!D$14:D$25)</f>
        <v>4.9000000000000004</v>
      </c>
      <c r="P17">
        <f>SUMIF('Water Charges'!$B$14:$B$25,'Typical Bills WATER'!$B17,'Water Charges'!E$14:E$25)</f>
        <v>5</v>
      </c>
      <c r="R17" s="102">
        <f>ROUND((SUMPRODUCT($J17:$M17,'Water Charges'!$D$49:$G$49)),2)</f>
        <v>18.670000000000002</v>
      </c>
      <c r="S17" s="102">
        <f>ROUND((SUMPRODUCT($J17:$M17,'Water Charges'!$D$50:$G$50)),2)</f>
        <v>20.18</v>
      </c>
      <c r="V17" s="75"/>
      <c r="W17" s="75"/>
    </row>
    <row r="18" spans="1:24">
      <c r="A18" s="60"/>
      <c r="B18" s="61" t="s">
        <v>6</v>
      </c>
      <c r="C18" s="62">
        <v>0.5</v>
      </c>
      <c r="D18" s="63">
        <f t="shared" si="0"/>
        <v>28.240000000000002</v>
      </c>
      <c r="E18" s="63">
        <f t="shared" si="1"/>
        <v>30.23</v>
      </c>
      <c r="F18" s="64">
        <f t="shared" si="2"/>
        <v>7.0467422096317289</v>
      </c>
      <c r="G18" s="60"/>
      <c r="H18" s="60"/>
      <c r="I18" s="60"/>
      <c r="J18" s="65">
        <f t="shared" si="3"/>
        <v>0.5</v>
      </c>
      <c r="K18" s="65">
        <f>IF($C18&gt;K$11,K$11,$C18)-SUM($J18:J18)</f>
        <v>0</v>
      </c>
      <c r="L18" s="65">
        <f>IF($C18&gt;L$11,L$11,$C18)-SUM($J18:K18)</f>
        <v>0</v>
      </c>
      <c r="M18" s="65">
        <f>$C18-SUM($J18:L18)</f>
        <v>0</v>
      </c>
      <c r="N18" s="60"/>
      <c r="O18" s="60">
        <f>SUMIF('Water Charges'!$B$14:$B$25,'Typical Bills WATER'!$B18,'Water Charges'!D$14:D$25)</f>
        <v>4.9000000000000004</v>
      </c>
      <c r="P18" s="60">
        <f>SUMIF('Water Charges'!$B$14:$B$25,'Typical Bills WATER'!$B18,'Water Charges'!E$14:E$25)</f>
        <v>5</v>
      </c>
      <c r="Q18" s="60"/>
      <c r="R18" s="104">
        <f>ROUND((SUMPRODUCT($J18:$M18,'Water Charges'!$D$49:$G$49)),2)</f>
        <v>23.34</v>
      </c>
      <c r="S18" s="104">
        <f>ROUND((SUMPRODUCT($J18:$M18,'Water Charges'!$D$50:$G$50)),2)</f>
        <v>25.23</v>
      </c>
      <c r="T18" s="60"/>
      <c r="U18" s="60"/>
      <c r="V18" s="77"/>
      <c r="W18" s="77"/>
      <c r="X18" t="s">
        <v>88</v>
      </c>
    </row>
    <row r="19" spans="1:24">
      <c r="B19" s="43" t="s">
        <v>6</v>
      </c>
      <c r="C19" s="42">
        <v>0.6</v>
      </c>
      <c r="D19" s="34">
        <f t="shared" si="0"/>
        <v>32.910000000000004</v>
      </c>
      <c r="E19" s="34">
        <f t="shared" si="1"/>
        <v>35.269999999999996</v>
      </c>
      <c r="F19" s="33">
        <f t="shared" si="2"/>
        <v>7.1710726223032317</v>
      </c>
      <c r="J19" s="33">
        <f t="shared" si="3"/>
        <v>0.6</v>
      </c>
      <c r="K19" s="33">
        <f>IF($C19&gt;K$11,K$11,$C19)-SUM($J19:J19)</f>
        <v>0</v>
      </c>
      <c r="L19" s="33">
        <f>IF($C19&gt;L$11,L$11,$C19)-SUM($J19:K19)</f>
        <v>0</v>
      </c>
      <c r="M19" s="33">
        <f>$C19-SUM($J19:L19)</f>
        <v>0</v>
      </c>
      <c r="O19">
        <f>SUMIF('Water Charges'!$B$14:$B$25,'Typical Bills WATER'!$B19,'Water Charges'!D$14:D$25)</f>
        <v>4.9000000000000004</v>
      </c>
      <c r="P19">
        <f>SUMIF('Water Charges'!$B$14:$B$25,'Typical Bills WATER'!$B19,'Water Charges'!E$14:E$25)</f>
        <v>5</v>
      </c>
      <c r="R19" s="102">
        <f>ROUND((SUMPRODUCT($J19:$M19,'Water Charges'!$D$49:$G$49)),2)</f>
        <v>28.01</v>
      </c>
      <c r="S19" s="102">
        <f>ROUND((SUMPRODUCT($J19:$M19,'Water Charges'!$D$50:$G$50)),2)</f>
        <v>30.27</v>
      </c>
      <c r="V19" s="75"/>
      <c r="W19" s="75"/>
    </row>
    <row r="20" spans="1:24">
      <c r="B20" s="43" t="s">
        <v>6</v>
      </c>
      <c r="C20" s="42">
        <v>0.7</v>
      </c>
      <c r="D20" s="34">
        <f t="shared" si="0"/>
        <v>37.58</v>
      </c>
      <c r="E20" s="34">
        <f t="shared" si="1"/>
        <v>40.32</v>
      </c>
      <c r="F20" s="33">
        <f t="shared" si="2"/>
        <v>7.2911122937732831</v>
      </c>
      <c r="J20" s="33">
        <f t="shared" si="3"/>
        <v>0.7</v>
      </c>
      <c r="K20" s="33">
        <f>IF($C20&gt;K$11,K$11,$C20)-SUM($J20:J20)</f>
        <v>0</v>
      </c>
      <c r="L20" s="33">
        <f>IF($C20&gt;L$11,L$11,$C20)-SUM($J20:K20)</f>
        <v>0</v>
      </c>
      <c r="M20" s="33">
        <f>$C20-SUM($J20:L20)</f>
        <v>0</v>
      </c>
      <c r="O20">
        <f>SUMIF('Water Charges'!$B$14:$B$25,'Typical Bills WATER'!$B20,'Water Charges'!D$14:D$25)</f>
        <v>4.9000000000000004</v>
      </c>
      <c r="P20">
        <f>SUMIF('Water Charges'!$B$14:$B$25,'Typical Bills WATER'!$B20,'Water Charges'!E$14:E$25)</f>
        <v>5</v>
      </c>
      <c r="R20" s="102">
        <f>ROUND((SUMPRODUCT($J20:$M20,'Water Charges'!$D$49:$G$49)),2)</f>
        <v>32.68</v>
      </c>
      <c r="S20" s="102">
        <f>ROUND((SUMPRODUCT($J20:$M20,'Water Charges'!$D$50:$G$50)),2)</f>
        <v>35.32</v>
      </c>
      <c r="V20" s="75"/>
      <c r="W20" s="75"/>
    </row>
    <row r="21" spans="1:24">
      <c r="B21" s="43" t="s">
        <v>6</v>
      </c>
      <c r="C21" s="42">
        <v>0.8</v>
      </c>
      <c r="D21" s="34">
        <f t="shared" si="0"/>
        <v>42.24</v>
      </c>
      <c r="E21" s="34">
        <f t="shared" si="1"/>
        <v>45.36</v>
      </c>
      <c r="F21" s="33">
        <f t="shared" si="2"/>
        <v>7.3863636363636243</v>
      </c>
      <c r="J21" s="33">
        <f t="shared" si="3"/>
        <v>0.8</v>
      </c>
      <c r="K21" s="33">
        <f>IF($C21&gt;K$11,K$11,$C21)-SUM($J21:J21)</f>
        <v>0</v>
      </c>
      <c r="L21" s="33">
        <f>IF($C21&gt;L$11,L$11,$C21)-SUM($J21:K21)</f>
        <v>0</v>
      </c>
      <c r="M21" s="33">
        <f>$C21-SUM($J21:L21)</f>
        <v>0</v>
      </c>
      <c r="O21">
        <f>SUMIF('Water Charges'!$B$14:$B$25,'Typical Bills WATER'!$B21,'Water Charges'!D$14:D$25)</f>
        <v>4.9000000000000004</v>
      </c>
      <c r="P21">
        <f>SUMIF('Water Charges'!$B$14:$B$25,'Typical Bills WATER'!$B21,'Water Charges'!E$14:E$25)</f>
        <v>5</v>
      </c>
      <c r="R21" s="102">
        <f>ROUND((SUMPRODUCT($J21:$M21,'Water Charges'!$D$49:$G$49)),2)</f>
        <v>37.340000000000003</v>
      </c>
      <c r="S21" s="102">
        <f>ROUND((SUMPRODUCT($J21:$M21,'Water Charges'!$D$50:$G$50)),2)</f>
        <v>40.36</v>
      </c>
      <c r="V21" s="75"/>
      <c r="W21" s="75"/>
    </row>
    <row r="22" spans="1:24">
      <c r="B22" s="43" t="s">
        <v>6</v>
      </c>
      <c r="C22" s="42">
        <v>1.7</v>
      </c>
      <c r="D22" s="34">
        <f t="shared" si="0"/>
        <v>84.26</v>
      </c>
      <c r="E22" s="34">
        <f t="shared" si="1"/>
        <v>90.77</v>
      </c>
      <c r="F22" s="33">
        <f t="shared" si="2"/>
        <v>7.7260859245193325</v>
      </c>
      <c r="J22" s="33">
        <f t="shared" si="3"/>
        <v>1.7</v>
      </c>
      <c r="K22" s="33">
        <f>IF($C22&gt;K$11,K$11,$C22)-SUM($J22:J22)</f>
        <v>0</v>
      </c>
      <c r="L22" s="33">
        <f>IF($C22&gt;L$11,L$11,$C22)-SUM($J22:K22)</f>
        <v>0</v>
      </c>
      <c r="M22" s="33">
        <f>$C22-SUM($J22:L22)</f>
        <v>0</v>
      </c>
      <c r="O22">
        <f>SUMIF('Water Charges'!$B$14:$B$25,'Typical Bills WATER'!$B22,'Water Charges'!D$14:D$25)</f>
        <v>4.9000000000000004</v>
      </c>
      <c r="P22">
        <f>SUMIF('Water Charges'!$B$14:$B$25,'Typical Bills WATER'!$B22,'Water Charges'!E$14:E$25)</f>
        <v>5</v>
      </c>
      <c r="R22" s="102">
        <f>ROUND((SUMPRODUCT($J22:$M22,'Water Charges'!$D$49:$G$49)),2)</f>
        <v>79.36</v>
      </c>
      <c r="S22" s="102">
        <f>ROUND((SUMPRODUCT($J22:$M22,'Water Charges'!$D$50:$G$50)),2)</f>
        <v>85.77</v>
      </c>
      <c r="V22" s="75"/>
      <c r="W22" s="75"/>
    </row>
    <row r="23" spans="1:24">
      <c r="B23" s="43" t="s">
        <v>6</v>
      </c>
      <c r="C23" s="42">
        <v>2.7</v>
      </c>
      <c r="D23" s="34">
        <f t="shared" si="0"/>
        <v>128.37</v>
      </c>
      <c r="E23" s="34">
        <f t="shared" si="1"/>
        <v>138.41999999999999</v>
      </c>
      <c r="F23" s="33">
        <f t="shared" si="2"/>
        <v>7.8289319934564006</v>
      </c>
      <c r="J23" s="33">
        <f t="shared" si="3"/>
        <v>2</v>
      </c>
      <c r="K23" s="33">
        <f>IF($C23&gt;K$11,K$11,$C23)-SUM($J23:J23)</f>
        <v>0.70000000000000018</v>
      </c>
      <c r="L23" s="33">
        <f>IF($C23&gt;L$11,L$11,$C23)-SUM($J23:K23)</f>
        <v>0</v>
      </c>
      <c r="M23" s="33">
        <f>$C23-SUM($J23:L23)</f>
        <v>0</v>
      </c>
      <c r="O23">
        <f>SUMIF('Water Charges'!$B$14:$B$25,'Typical Bills WATER'!$B23,'Water Charges'!D$14:D$25)</f>
        <v>4.9000000000000004</v>
      </c>
      <c r="P23">
        <f>SUMIF('Water Charges'!$B$14:$B$25,'Typical Bills WATER'!$B23,'Water Charges'!E$14:E$25)</f>
        <v>5</v>
      </c>
      <c r="R23" s="102">
        <f>ROUND((SUMPRODUCT($J23:$M23,'Water Charges'!$D$49:$G$49)),2)</f>
        <v>123.47</v>
      </c>
      <c r="S23" s="102">
        <f>ROUND((SUMPRODUCT($J23:$M23,'Water Charges'!$D$50:$G$50)),2)</f>
        <v>133.41999999999999</v>
      </c>
      <c r="V23" s="75"/>
      <c r="W23" s="75"/>
    </row>
    <row r="24" spans="1:24">
      <c r="B24" s="43" t="s">
        <v>6</v>
      </c>
      <c r="C24" s="42">
        <v>3.3</v>
      </c>
      <c r="D24" s="34">
        <f t="shared" si="0"/>
        <v>154.19</v>
      </c>
      <c r="E24" s="34">
        <f t="shared" si="1"/>
        <v>166.3</v>
      </c>
      <c r="F24" s="33">
        <f t="shared" si="2"/>
        <v>7.8539464297295636</v>
      </c>
      <c r="J24" s="33">
        <f t="shared" si="3"/>
        <v>2</v>
      </c>
      <c r="K24" s="33">
        <f>IF($C24&gt;K$11,K$11,$C24)-SUM($J24:J24)</f>
        <v>1.2999999999999998</v>
      </c>
      <c r="L24" s="33">
        <f>IF($C24&gt;L$11,L$11,$C24)-SUM($J24:K24)</f>
        <v>0</v>
      </c>
      <c r="M24" s="33">
        <f>$C24-SUM($J24:L24)</f>
        <v>0</v>
      </c>
      <c r="O24">
        <f>SUMIF('Water Charges'!$B$14:$B$25,'Typical Bills WATER'!$B24,'Water Charges'!D$14:D$25)</f>
        <v>4.9000000000000004</v>
      </c>
      <c r="P24">
        <f>SUMIF('Water Charges'!$B$14:$B$25,'Typical Bills WATER'!$B24,'Water Charges'!E$14:E$25)</f>
        <v>5</v>
      </c>
      <c r="R24" s="102">
        <f>ROUND((SUMPRODUCT($J24:$M24,'Water Charges'!$D$49:$G$49)),2)</f>
        <v>149.29</v>
      </c>
      <c r="S24" s="102">
        <f>ROUND((SUMPRODUCT($J24:$M24,'Water Charges'!$D$50:$G$50)),2)</f>
        <v>161.30000000000001</v>
      </c>
      <c r="V24" s="75"/>
      <c r="W24" s="75"/>
    </row>
    <row r="25" spans="1:24">
      <c r="A25" s="49"/>
      <c r="B25" s="50" t="s">
        <v>6</v>
      </c>
      <c r="C25" s="51">
        <v>11</v>
      </c>
      <c r="D25" s="52">
        <f t="shared" si="0"/>
        <v>485.44</v>
      </c>
      <c r="E25" s="52">
        <f t="shared" si="1"/>
        <v>524.04</v>
      </c>
      <c r="F25" s="53">
        <f>(+E25/D25-1)*100</f>
        <v>7.9515491100856872</v>
      </c>
      <c r="G25" s="49"/>
      <c r="H25" s="49"/>
      <c r="I25" s="49"/>
      <c r="J25" s="53">
        <f t="shared" si="3"/>
        <v>2</v>
      </c>
      <c r="K25" s="53">
        <f>IF($C25&gt;K$11,K$11,$C25)-SUM($J25:J25)</f>
        <v>9</v>
      </c>
      <c r="L25" s="53">
        <f>IF($C25&gt;L$11,L$11,$C25)-SUM($J25:K25)</f>
        <v>0</v>
      </c>
      <c r="M25" s="53">
        <f>$C25-SUM($J25:L25)</f>
        <v>0</v>
      </c>
      <c r="N25" s="49"/>
      <c r="O25" s="49">
        <f>SUMIF('Water Charges'!$B$14:$B$25,'Typical Bills WATER'!$B25,'Water Charges'!D$14:D$25)</f>
        <v>4.9000000000000004</v>
      </c>
      <c r="P25" s="49">
        <f>SUMIF('Water Charges'!$B$14:$B$25,'Typical Bills WATER'!$B25,'Water Charges'!E$14:E$25)</f>
        <v>5</v>
      </c>
      <c r="Q25" s="49"/>
      <c r="R25" s="105">
        <f>ROUND((SUMPRODUCT($J25:$M25,'Water Charges'!$D$49:$G$49)),2)</f>
        <v>480.54</v>
      </c>
      <c r="S25" s="105">
        <f>ROUND((SUMPRODUCT($J25:$M25,'Water Charges'!$D$50:$G$50)),2)</f>
        <v>519.04</v>
      </c>
      <c r="T25" s="49"/>
      <c r="U25" s="49"/>
      <c r="V25" s="78"/>
      <c r="W25" s="78"/>
      <c r="X25" t="s">
        <v>77</v>
      </c>
    </row>
    <row r="26" spans="1:24">
      <c r="B26" s="32"/>
      <c r="C26" s="25"/>
      <c r="D26" s="34"/>
      <c r="E26" s="34"/>
      <c r="F26" s="38"/>
    </row>
    <row r="27" spans="1:24">
      <c r="B27" s="43">
        <v>1</v>
      </c>
      <c r="C27" s="42">
        <v>1.7</v>
      </c>
      <c r="D27" s="34">
        <f t="shared" ref="D27:E30" si="4">+O27+R27</f>
        <v>85.82</v>
      </c>
      <c r="E27" s="34">
        <f t="shared" si="4"/>
        <v>92.38</v>
      </c>
      <c r="F27" s="33">
        <f>(+E27/D27-1)*100</f>
        <v>7.6439058494523371</v>
      </c>
      <c r="J27" s="33">
        <f>IF($C27&gt;J$11,J$11,$C27)</f>
        <v>1.7</v>
      </c>
      <c r="K27" s="33">
        <f>IF($C27&gt;K$11,K$11,$C27)-SUM($J27:J27)</f>
        <v>0</v>
      </c>
      <c r="L27" s="33">
        <f>IF($C27&gt;L$11,L$11,$C27)-SUM($J27:K27)</f>
        <v>0</v>
      </c>
      <c r="M27" s="33">
        <f>$C27-SUM($J27:L27)</f>
        <v>0</v>
      </c>
      <c r="O27">
        <f>SUMIF('Water Charges'!$B$14:$B$25,'Typical Bills WATER'!$B27,'Water Charges'!D$14:D$25)</f>
        <v>6.46</v>
      </c>
      <c r="P27">
        <f>SUMIF('Water Charges'!$B$14:$B$25,'Typical Bills WATER'!$B27,'Water Charges'!E$14:E$25)</f>
        <v>6.61</v>
      </c>
      <c r="R27">
        <f>ROUND((SUMPRODUCT($J27:$M27,'Water Charges'!$D$49:$G$49)),2)</f>
        <v>79.36</v>
      </c>
      <c r="S27">
        <f>ROUND((SUMPRODUCT($J27:$M27,'Water Charges'!$D$50:$G$50)),2)</f>
        <v>85.77</v>
      </c>
      <c r="V27" s="75"/>
      <c r="W27" s="75"/>
    </row>
    <row r="28" spans="1:24">
      <c r="B28" s="43">
        <v>1</v>
      </c>
      <c r="C28" s="42">
        <v>5</v>
      </c>
      <c r="D28" s="34">
        <f t="shared" si="4"/>
        <v>228.88</v>
      </c>
      <c r="E28" s="34">
        <f t="shared" si="4"/>
        <v>246.89000000000001</v>
      </c>
      <c r="F28" s="33">
        <f>(+E28/D28-1)*100</f>
        <v>7.8687521845508757</v>
      </c>
      <c r="J28" s="33">
        <f>IF($C28&gt;J$11,J$11,$C28)</f>
        <v>2</v>
      </c>
      <c r="K28" s="33">
        <f>IF($C28&gt;K$11,K$11,$C28)-SUM($J28:J28)</f>
        <v>3</v>
      </c>
      <c r="L28" s="33">
        <f>IF($C28&gt;L$11,L$11,$C28)-SUM($J28:K28)</f>
        <v>0</v>
      </c>
      <c r="M28" s="33">
        <f>$C28-SUM($J28:L28)</f>
        <v>0</v>
      </c>
      <c r="O28">
        <f>SUMIF('Water Charges'!$B$14:$B$25,'Typical Bills WATER'!$B28,'Water Charges'!D$14:D$25)</f>
        <v>6.46</v>
      </c>
      <c r="P28">
        <f>SUMIF('Water Charges'!$B$14:$B$25,'Typical Bills WATER'!$B28,'Water Charges'!E$14:E$25)</f>
        <v>6.61</v>
      </c>
      <c r="R28">
        <f>ROUND((SUMPRODUCT($J28:$M28,'Water Charges'!$D$49:$G$49)),2)</f>
        <v>222.42</v>
      </c>
      <c r="S28">
        <f>ROUND((SUMPRODUCT($J28:$M28,'Water Charges'!$D$50:$G$50)),2)</f>
        <v>240.28</v>
      </c>
      <c r="V28" s="75"/>
      <c r="W28" s="75"/>
    </row>
    <row r="29" spans="1:24">
      <c r="B29" s="43">
        <v>1</v>
      </c>
      <c r="C29" s="42">
        <v>8</v>
      </c>
      <c r="D29" s="34">
        <f t="shared" si="4"/>
        <v>357.94</v>
      </c>
      <c r="E29" s="34">
        <f t="shared" si="4"/>
        <v>386.27000000000004</v>
      </c>
      <c r="F29" s="33">
        <f>(+E29/D29-1)*100</f>
        <v>7.9147343130133718</v>
      </c>
      <c r="J29" s="33">
        <f>IF($C29&gt;J$11,J$11,$C29)</f>
        <v>2</v>
      </c>
      <c r="K29" s="33">
        <f>IF($C29&gt;K$11,K$11,$C29)-SUM($J29:J29)</f>
        <v>6</v>
      </c>
      <c r="L29" s="33">
        <f>IF($C29&gt;L$11,L$11,$C29)-SUM($J29:K29)</f>
        <v>0</v>
      </c>
      <c r="M29" s="33">
        <f>$C29-SUM($J29:L29)</f>
        <v>0</v>
      </c>
      <c r="O29">
        <f>SUMIF('Water Charges'!$B$14:$B$25,'Typical Bills WATER'!$B29,'Water Charges'!D$14:D$25)</f>
        <v>6.46</v>
      </c>
      <c r="P29">
        <f>SUMIF('Water Charges'!$B$14:$B$25,'Typical Bills WATER'!$B29,'Water Charges'!E$14:E$25)</f>
        <v>6.61</v>
      </c>
      <c r="R29">
        <f>ROUND((SUMPRODUCT($J29:$M29,'Water Charges'!$D$49:$G$49)),2)</f>
        <v>351.48</v>
      </c>
      <c r="S29">
        <f>ROUND((SUMPRODUCT($J29:$M29,'Water Charges'!$D$50:$G$50)),2)</f>
        <v>379.66</v>
      </c>
      <c r="V29" s="75"/>
      <c r="W29" s="75"/>
    </row>
    <row r="30" spans="1:24">
      <c r="B30" s="43">
        <v>1</v>
      </c>
      <c r="C30" s="42">
        <v>17</v>
      </c>
      <c r="D30" s="34">
        <f t="shared" si="4"/>
        <v>745.12</v>
      </c>
      <c r="E30" s="34">
        <f t="shared" si="4"/>
        <v>804.41</v>
      </c>
      <c r="F30" s="33">
        <f>(+E30/D30-1)*100</f>
        <v>7.9571075799871105</v>
      </c>
      <c r="J30" s="33">
        <f>IF($C30&gt;J$11,J$11,$C30)</f>
        <v>2</v>
      </c>
      <c r="K30" s="33">
        <f>IF($C30&gt;K$11,K$11,$C30)-SUM($J30:J30)</f>
        <v>15</v>
      </c>
      <c r="L30" s="33">
        <f>IF($C30&gt;L$11,L$11,$C30)-SUM($J30:K30)</f>
        <v>0</v>
      </c>
      <c r="M30" s="33">
        <f>$C30-SUM($J30:L30)</f>
        <v>0</v>
      </c>
      <c r="O30">
        <f>SUMIF('Water Charges'!$B$14:$B$25,'Typical Bills WATER'!$B30,'Water Charges'!D$14:D$25)</f>
        <v>6.46</v>
      </c>
      <c r="P30">
        <f>SUMIF('Water Charges'!$B$14:$B$25,'Typical Bills WATER'!$B30,'Water Charges'!E$14:E$25)</f>
        <v>6.61</v>
      </c>
      <c r="R30">
        <f>ROUND((SUMPRODUCT($J30:$M30,'Water Charges'!$D$49:$G$49)),2)</f>
        <v>738.66</v>
      </c>
      <c r="S30">
        <f>ROUND((SUMPRODUCT($J30:$M30,'Water Charges'!$D$50:$G$50)),2)</f>
        <v>797.8</v>
      </c>
      <c r="V30" s="75"/>
      <c r="W30" s="75"/>
    </row>
    <row r="31" spans="1:24">
      <c r="B31" s="32"/>
      <c r="C31" s="25"/>
      <c r="D31" s="34"/>
      <c r="E31" s="34"/>
      <c r="F31" s="38"/>
    </row>
    <row r="32" spans="1:24">
      <c r="B32" s="43">
        <v>2</v>
      </c>
      <c r="C32" s="42">
        <v>7.6</v>
      </c>
      <c r="D32" s="34">
        <f t="shared" ref="D32:E35" si="5">+O32+R32</f>
        <v>346.53</v>
      </c>
      <c r="E32" s="34">
        <f t="shared" si="5"/>
        <v>373.71999999999997</v>
      </c>
      <c r="F32" s="33">
        <f>(+E32/D32-1)*100</f>
        <v>7.8463625082965338</v>
      </c>
      <c r="G32" s="21"/>
      <c r="J32" s="33">
        <f>IF($C32&gt;J$11,J$11,$C32)</f>
        <v>2</v>
      </c>
      <c r="K32" s="33">
        <f>IF($C32&gt;K$11,K$11,$C32)-SUM($J32:J32)</f>
        <v>5.6</v>
      </c>
      <c r="L32" s="33">
        <f>IF($C32&gt;L$11,L$11,$C32)-SUM($J32:K32)</f>
        <v>0</v>
      </c>
      <c r="M32" s="33">
        <f>$C32-SUM($J32:L32)</f>
        <v>0</v>
      </c>
      <c r="O32">
        <f>SUMIF('Water Charges'!$B$14:$B$25,'Typical Bills WATER'!$B32,'Water Charges'!D$14:D$25)</f>
        <v>12.26</v>
      </c>
      <c r="P32">
        <f>SUMIF('Water Charges'!$B$14:$B$25,'Typical Bills WATER'!$B32,'Water Charges'!E$14:E$25)</f>
        <v>12.64</v>
      </c>
      <c r="R32" s="68">
        <f>ROUND((SUMPRODUCT($J32:$M32,'Water Charges'!$D$49:$G$49)),2)</f>
        <v>334.27</v>
      </c>
      <c r="S32" s="68">
        <f>ROUND((SUMPRODUCT($J32:$M32,'Water Charges'!$D$50:$G$50)),2)</f>
        <v>361.08</v>
      </c>
      <c r="T32" s="68"/>
      <c r="V32" s="75"/>
      <c r="W32" s="75"/>
    </row>
    <row r="33" spans="2:23">
      <c r="B33" s="43">
        <v>2</v>
      </c>
      <c r="C33" s="42">
        <v>16</v>
      </c>
      <c r="D33" s="34">
        <f t="shared" si="5"/>
        <v>707.9</v>
      </c>
      <c r="E33" s="34">
        <f t="shared" si="5"/>
        <v>763.98</v>
      </c>
      <c r="F33" s="33">
        <f>(+E33/D33-1)*100</f>
        <v>7.9220228845882312</v>
      </c>
      <c r="J33" s="33">
        <f>IF($C33&gt;J$11,J$11,$C33)</f>
        <v>2</v>
      </c>
      <c r="K33" s="33">
        <f>IF($C33&gt;K$11,K$11,$C33)-SUM($J33:J33)</f>
        <v>14</v>
      </c>
      <c r="L33" s="33">
        <f>IF($C33&gt;L$11,L$11,$C33)-SUM($J33:K33)</f>
        <v>0</v>
      </c>
      <c r="M33" s="33">
        <f>$C33-SUM($J33:L33)</f>
        <v>0</v>
      </c>
      <c r="O33">
        <f>SUMIF('Water Charges'!$B$14:$B$25,'Typical Bills WATER'!$B33,'Water Charges'!D$14:D$25)</f>
        <v>12.26</v>
      </c>
      <c r="P33">
        <f>SUMIF('Water Charges'!$B$14:$B$25,'Typical Bills WATER'!$B33,'Water Charges'!E$14:E$25)</f>
        <v>12.64</v>
      </c>
      <c r="R33" s="68">
        <f>ROUND((SUMPRODUCT($J33:$M33,'Water Charges'!$D$49:$G$49)),2)</f>
        <v>695.64</v>
      </c>
      <c r="S33" s="68">
        <f>ROUND((SUMPRODUCT($J33:$M33,'Water Charges'!$D$50:$G$50)),2)</f>
        <v>751.34</v>
      </c>
      <c r="T33" s="68"/>
      <c r="V33" s="75"/>
      <c r="W33" s="75"/>
    </row>
    <row r="34" spans="2:23">
      <c r="B34" s="43">
        <v>2</v>
      </c>
      <c r="C34" s="42">
        <v>33</v>
      </c>
      <c r="D34" s="34">
        <f t="shared" si="5"/>
        <v>1439.24</v>
      </c>
      <c r="E34" s="34">
        <f t="shared" si="5"/>
        <v>1553.8000000000002</v>
      </c>
      <c r="F34" s="33">
        <f>(+E34/D34-1)*100</f>
        <v>7.9597565381729352</v>
      </c>
      <c r="J34" s="33">
        <f>IF($C34&gt;J$11,J$11,$C34)</f>
        <v>2</v>
      </c>
      <c r="K34" s="33">
        <f>IF($C34&gt;K$11,K$11,$C34)-SUM($J34:J34)</f>
        <v>31</v>
      </c>
      <c r="L34" s="33">
        <f>IF($C34&gt;L$11,L$11,$C34)-SUM($J34:K34)</f>
        <v>0</v>
      </c>
      <c r="M34" s="33">
        <f>$C34-SUM($J34:L34)</f>
        <v>0</v>
      </c>
      <c r="O34">
        <f>SUMIF('Water Charges'!$B$14:$B$25,'Typical Bills WATER'!$B34,'Water Charges'!D$14:D$25)</f>
        <v>12.26</v>
      </c>
      <c r="P34">
        <f>SUMIF('Water Charges'!$B$14:$B$25,'Typical Bills WATER'!$B34,'Water Charges'!E$14:E$25)</f>
        <v>12.64</v>
      </c>
      <c r="R34" s="68">
        <f>ROUND((SUMPRODUCT($J34:$M34,'Water Charges'!$D$49:$G$49)),2)</f>
        <v>1426.98</v>
      </c>
      <c r="S34" s="68">
        <f>ROUND((SUMPRODUCT($J34:$M34,'Water Charges'!$D$50:$G$50)),2)</f>
        <v>1541.16</v>
      </c>
      <c r="T34" s="68"/>
      <c r="V34" s="75"/>
      <c r="W34" s="75"/>
    </row>
    <row r="35" spans="2:23">
      <c r="B35" s="43">
        <v>2</v>
      </c>
      <c r="C35" s="42">
        <v>100</v>
      </c>
      <c r="D35" s="34">
        <f t="shared" si="5"/>
        <v>4321.58</v>
      </c>
      <c r="E35" s="34">
        <f t="shared" si="5"/>
        <v>4666.62</v>
      </c>
      <c r="F35" s="33">
        <f>(+E35/D35-1)*100</f>
        <v>7.9841169202004902</v>
      </c>
      <c r="J35" s="33">
        <f>IF($C35&gt;J$11,J$11,$C35)</f>
        <v>2</v>
      </c>
      <c r="K35" s="33">
        <f>IF($C35&gt;K$11,K$11,$C35)-SUM($J35:J35)</f>
        <v>98</v>
      </c>
      <c r="L35" s="33">
        <f>IF($C35&gt;L$11,L$11,$C35)-SUM($J35:K35)</f>
        <v>0</v>
      </c>
      <c r="M35" s="33">
        <f>$C35-SUM($J35:L35)</f>
        <v>0</v>
      </c>
      <c r="O35">
        <f>SUMIF('Water Charges'!$B$14:$B$25,'Typical Bills WATER'!$B35,'Water Charges'!D$14:D$25)</f>
        <v>12.26</v>
      </c>
      <c r="P35">
        <f>SUMIF('Water Charges'!$B$14:$B$25,'Typical Bills WATER'!$B35,'Water Charges'!E$14:E$25)</f>
        <v>12.64</v>
      </c>
      <c r="R35" s="68">
        <f>ROUND((SUMPRODUCT($J35:$M35,'Water Charges'!$D$49:$G$49)),2)</f>
        <v>4309.32</v>
      </c>
      <c r="S35" s="68">
        <f>ROUND((SUMPRODUCT($J35:$M35,'Water Charges'!$D$50:$G$50)),2)</f>
        <v>4653.9799999999996</v>
      </c>
      <c r="T35" s="68"/>
      <c r="V35" s="75"/>
      <c r="W35" s="75"/>
    </row>
    <row r="36" spans="2:23">
      <c r="B36" s="32"/>
      <c r="C36" s="25"/>
      <c r="D36" s="34"/>
      <c r="E36" s="34"/>
      <c r="F36" s="38"/>
      <c r="R36" s="68"/>
      <c r="S36" s="68"/>
      <c r="T36" s="68"/>
      <c r="U36" s="68"/>
      <c r="V36" s="68"/>
      <c r="W36" s="68"/>
    </row>
    <row r="37" spans="2:23">
      <c r="B37" s="43">
        <v>4</v>
      </c>
      <c r="C37" s="42">
        <v>30</v>
      </c>
      <c r="D37" s="34">
        <f t="shared" ref="D37:E40" si="6">+O37+R37</f>
        <v>1333.38</v>
      </c>
      <c r="E37" s="34">
        <f t="shared" si="6"/>
        <v>1438.3999999999999</v>
      </c>
      <c r="F37" s="33">
        <f>(+E37/D37-1)*100</f>
        <v>7.8762243321483627</v>
      </c>
      <c r="J37" s="33">
        <f>IF($C37&gt;J$11,J$11,$C37)</f>
        <v>2</v>
      </c>
      <c r="K37" s="33">
        <f>IF($C37&gt;K$11,K$11,$C37)-SUM($J37:J37)</f>
        <v>28</v>
      </c>
      <c r="L37" s="33">
        <f>IF($C37&gt;L$11,L$11,$C37)-SUM($J37:K37)</f>
        <v>0</v>
      </c>
      <c r="M37" s="33">
        <f>$C37-SUM($J37:L37)</f>
        <v>0</v>
      </c>
      <c r="O37">
        <f>SUMIF('Water Charges'!$B$14:$B$25,'Typical Bills WATER'!$B37,'Water Charges'!D$14:D$25)</f>
        <v>35.46</v>
      </c>
      <c r="P37">
        <f>SUMIF('Water Charges'!$B$14:$B$25,'Typical Bills WATER'!$B37,'Water Charges'!E$14:E$25)</f>
        <v>36.619999999999997</v>
      </c>
      <c r="R37" s="68">
        <f>ROUND((SUMPRODUCT($J37:$M37,'Water Charges'!$D$49:$G$49)),2)</f>
        <v>1297.92</v>
      </c>
      <c r="S37" s="68">
        <f>ROUND((SUMPRODUCT($J37:$M37,'Water Charges'!$D$50:$G$50)),2)</f>
        <v>1401.78</v>
      </c>
      <c r="T37" s="68"/>
      <c r="V37" s="75"/>
      <c r="W37" s="75"/>
    </row>
    <row r="38" spans="2:23">
      <c r="B38" s="43">
        <v>4</v>
      </c>
      <c r="C38" s="42">
        <v>170</v>
      </c>
      <c r="D38" s="34">
        <f t="shared" si="6"/>
        <v>6691.88</v>
      </c>
      <c r="E38" s="34">
        <f t="shared" si="6"/>
        <v>7230.2</v>
      </c>
      <c r="F38" s="33">
        <f>(+E38/D38-1)*100</f>
        <v>8.0443761693276059</v>
      </c>
      <c r="J38" s="33">
        <f>IF($C38&gt;J$11,J$11,$C38)</f>
        <v>2</v>
      </c>
      <c r="K38" s="33">
        <f>IF($C38&gt;K$11,K$11,$C38)-SUM($J38:J38)</f>
        <v>98</v>
      </c>
      <c r="L38" s="33">
        <f>IF($C38&gt;L$11,L$11,$C38)-SUM($J38:K38)</f>
        <v>70</v>
      </c>
      <c r="M38" s="33">
        <f>$C38-SUM($J38:L38)</f>
        <v>0</v>
      </c>
      <c r="O38">
        <f>SUMIF('Water Charges'!$B$14:$B$25,'Typical Bills WATER'!$B38,'Water Charges'!D$14:D$25)</f>
        <v>35.46</v>
      </c>
      <c r="P38">
        <f>SUMIF('Water Charges'!$B$14:$B$25,'Typical Bills WATER'!$B38,'Water Charges'!E$14:E$25)</f>
        <v>36.619999999999997</v>
      </c>
      <c r="R38" s="68">
        <f>ROUND((SUMPRODUCT($J38:$M38,'Water Charges'!$D$49:$G$49)),2)</f>
        <v>6656.42</v>
      </c>
      <c r="S38" s="68">
        <f>ROUND((SUMPRODUCT($J38:$M38,'Water Charges'!$D$50:$G$50)),2)</f>
        <v>7193.58</v>
      </c>
      <c r="T38" s="68"/>
      <c r="V38" s="75"/>
      <c r="W38" s="75"/>
    </row>
    <row r="39" spans="2:23">
      <c r="B39" s="43">
        <v>4</v>
      </c>
      <c r="C39" s="42">
        <v>330</v>
      </c>
      <c r="D39" s="34">
        <f t="shared" si="6"/>
        <v>12056.679999999998</v>
      </c>
      <c r="E39" s="34">
        <f t="shared" si="6"/>
        <v>13035</v>
      </c>
      <c r="F39" s="33">
        <f>(+E39/D39-1)*100</f>
        <v>8.1143399343766465</v>
      </c>
      <c r="J39" s="33">
        <f>IF($C39&gt;J$11,J$11,$C39)</f>
        <v>2</v>
      </c>
      <c r="K39" s="33">
        <f>IF($C39&gt;K$11,K$11,$C39)-SUM($J39:J39)</f>
        <v>98</v>
      </c>
      <c r="L39" s="33">
        <f>IF($C39&gt;L$11,L$11,$C39)-SUM($J39:K39)</f>
        <v>230</v>
      </c>
      <c r="M39" s="33">
        <f>$C39-SUM($J39:L39)</f>
        <v>0</v>
      </c>
      <c r="O39">
        <f>SUMIF('Water Charges'!$B$14:$B$25,'Typical Bills WATER'!$B39,'Water Charges'!D$14:D$25)</f>
        <v>35.46</v>
      </c>
      <c r="P39">
        <f>SUMIF('Water Charges'!$B$14:$B$25,'Typical Bills WATER'!$B39,'Water Charges'!E$14:E$25)</f>
        <v>36.619999999999997</v>
      </c>
      <c r="R39" s="68">
        <f>ROUND((SUMPRODUCT($J39:$M39,'Water Charges'!$D$49:$G$49)),2)</f>
        <v>12021.22</v>
      </c>
      <c r="S39" s="68">
        <f>ROUND((SUMPRODUCT($J39:$M39,'Water Charges'!$D$50:$G$50)),2)</f>
        <v>12998.38</v>
      </c>
      <c r="T39" s="68"/>
      <c r="V39" s="75"/>
      <c r="W39" s="75"/>
    </row>
    <row r="40" spans="2:23">
      <c r="B40" s="43">
        <v>4</v>
      </c>
      <c r="C40" s="42">
        <v>500</v>
      </c>
      <c r="D40" s="34">
        <f t="shared" si="6"/>
        <v>17756.78</v>
      </c>
      <c r="E40" s="34">
        <f t="shared" si="6"/>
        <v>19202.599999999999</v>
      </c>
      <c r="F40" s="33">
        <f>(+E40/D40-1)*100</f>
        <v>8.1423546386225389</v>
      </c>
      <c r="J40" s="33">
        <f>IF($C40&gt;J$11,J$11,$C40)</f>
        <v>2</v>
      </c>
      <c r="K40" s="33">
        <f>IF($C40&gt;K$11,K$11,$C40)-SUM($J40:J40)</f>
        <v>98</v>
      </c>
      <c r="L40" s="33">
        <f>IF($C40&gt;L$11,L$11,$C40)-SUM($J40:K40)</f>
        <v>400</v>
      </c>
      <c r="M40" s="33">
        <f>$C40-SUM($J40:L40)</f>
        <v>0</v>
      </c>
      <c r="O40">
        <f>SUMIF('Water Charges'!$B$14:$B$25,'Typical Bills WATER'!$B40,'Water Charges'!D$14:D$25)</f>
        <v>35.46</v>
      </c>
      <c r="P40">
        <f>SUMIF('Water Charges'!$B$14:$B$25,'Typical Bills WATER'!$B40,'Water Charges'!E$14:E$25)</f>
        <v>36.619999999999997</v>
      </c>
      <c r="R40" s="68">
        <f>ROUND((SUMPRODUCT($J40:$M40,'Water Charges'!$D$49:$G$49)),2)</f>
        <v>17721.32</v>
      </c>
      <c r="S40" s="68">
        <f>ROUND((SUMPRODUCT($J40:$M40,'Water Charges'!$D$50:$G$50)),2)</f>
        <v>19165.98</v>
      </c>
      <c r="T40" s="68"/>
      <c r="V40" s="75"/>
      <c r="W40" s="75"/>
    </row>
    <row r="41" spans="2:23">
      <c r="B41" s="32"/>
      <c r="C41" s="25"/>
      <c r="D41" s="34"/>
      <c r="E41" s="34"/>
      <c r="R41" s="68"/>
      <c r="S41" s="68"/>
      <c r="T41" s="68"/>
      <c r="U41" s="68"/>
      <c r="V41" s="68"/>
      <c r="W41" s="68"/>
    </row>
    <row r="42" spans="2:23">
      <c r="B42" s="43">
        <v>6</v>
      </c>
      <c r="C42" s="42">
        <v>150</v>
      </c>
      <c r="D42" s="34">
        <f t="shared" ref="D42:E45" si="7">+O42+R42</f>
        <v>6052.58</v>
      </c>
      <c r="E42" s="34">
        <f t="shared" si="7"/>
        <v>6537</v>
      </c>
      <c r="F42" s="34">
        <f>(+E42/D42-1)*100</f>
        <v>8.003529073552107</v>
      </c>
      <c r="J42" s="33">
        <f>IF($C42&gt;J$11,J$11,$C42)</f>
        <v>2</v>
      </c>
      <c r="K42" s="33">
        <f>IF($C42&gt;K$11,K$11,$C42)-SUM($J42:J42)</f>
        <v>98</v>
      </c>
      <c r="L42" s="33">
        <f>IF($C42&gt;L$11,L$11,$C42)-SUM($J42:K42)</f>
        <v>50</v>
      </c>
      <c r="M42" s="33">
        <f>$C42-SUM($J42:L42)</f>
        <v>0</v>
      </c>
      <c r="O42">
        <f>SUMIF('Water Charges'!$B$14:$B$25,'Typical Bills WATER'!$B42,'Water Charges'!D$14:D$25)</f>
        <v>66.760000000000005</v>
      </c>
      <c r="P42">
        <f>SUMIF('Water Charges'!$B$14:$B$25,'Typical Bills WATER'!$B42,'Water Charges'!E$14:E$25)</f>
        <v>69.02</v>
      </c>
      <c r="R42" s="68">
        <f>ROUND((SUMPRODUCT($J42:$M42,'Water Charges'!$D$49:$G$49)),2)</f>
        <v>5985.82</v>
      </c>
      <c r="S42" s="68">
        <f>ROUND((SUMPRODUCT($J42:$M42,'Water Charges'!$D$50:$G$50)),2)</f>
        <v>6467.98</v>
      </c>
      <c r="T42" s="68"/>
      <c r="V42" s="79"/>
      <c r="W42" s="79"/>
    </row>
    <row r="43" spans="2:23">
      <c r="B43" s="43">
        <v>6</v>
      </c>
      <c r="C43" s="42">
        <v>500</v>
      </c>
      <c r="D43" s="34">
        <f t="shared" si="7"/>
        <v>17788.079999999998</v>
      </c>
      <c r="E43" s="34">
        <f t="shared" si="7"/>
        <v>19235</v>
      </c>
      <c r="F43" s="34">
        <f>(+E43/D43-1)*100</f>
        <v>8.1342112245953668</v>
      </c>
      <c r="J43" s="33">
        <f>IF($C43&gt;J$11,J$11,$C43)</f>
        <v>2</v>
      </c>
      <c r="K43" s="33">
        <f>IF($C43&gt;K$11,K$11,$C43)-SUM($J43:J43)</f>
        <v>98</v>
      </c>
      <c r="L43" s="33">
        <f>IF($C43&gt;L$11,L$11,$C43)-SUM($J43:K43)</f>
        <v>400</v>
      </c>
      <c r="M43" s="33">
        <f>$C43-SUM($J43:L43)</f>
        <v>0</v>
      </c>
      <c r="O43">
        <f>SUMIF('Water Charges'!$B$14:$B$25,'Typical Bills WATER'!$B43,'Water Charges'!D$14:D$25)</f>
        <v>66.760000000000005</v>
      </c>
      <c r="P43">
        <f>SUMIF('Water Charges'!$B$14:$B$25,'Typical Bills WATER'!$B43,'Water Charges'!E$14:E$25)</f>
        <v>69.02</v>
      </c>
      <c r="R43" s="68">
        <f>ROUND((SUMPRODUCT($J43:$M43,'Water Charges'!$D$49:$G$49)),2)</f>
        <v>17721.32</v>
      </c>
      <c r="S43" s="68">
        <f>ROUND((SUMPRODUCT($J43:$M43,'Water Charges'!$D$50:$G$50)),2)</f>
        <v>19165.98</v>
      </c>
      <c r="T43" s="68"/>
      <c r="V43" s="79"/>
      <c r="W43" s="79"/>
    </row>
    <row r="44" spans="2:23">
      <c r="B44" s="43">
        <v>6</v>
      </c>
      <c r="C44" s="42">
        <v>1000</v>
      </c>
      <c r="D44" s="34">
        <f t="shared" si="7"/>
        <v>34553.08</v>
      </c>
      <c r="E44" s="34">
        <f t="shared" si="7"/>
        <v>37375</v>
      </c>
      <c r="F44" s="34">
        <f>(+E44/D44-1)*100</f>
        <v>8.1669130508770884</v>
      </c>
      <c r="J44" s="33">
        <f>IF($C44&gt;J$11,J$11,$C44)</f>
        <v>2</v>
      </c>
      <c r="K44" s="33">
        <f>IF($C44&gt;K$11,K$11,$C44)-SUM($J44:J44)</f>
        <v>98</v>
      </c>
      <c r="L44" s="33">
        <f>IF($C44&gt;L$11,L$11,$C44)-SUM($J44:K44)</f>
        <v>900</v>
      </c>
      <c r="M44" s="33">
        <f>$C44-SUM($J44:L44)</f>
        <v>0</v>
      </c>
      <c r="O44">
        <f>SUMIF('Water Charges'!$B$14:$B$25,'Typical Bills WATER'!$B44,'Water Charges'!D$14:D$25)</f>
        <v>66.760000000000005</v>
      </c>
      <c r="P44">
        <f>SUMIF('Water Charges'!$B$14:$B$25,'Typical Bills WATER'!$B44,'Water Charges'!E$14:E$25)</f>
        <v>69.02</v>
      </c>
      <c r="R44" s="68">
        <f>ROUND((SUMPRODUCT($J44:$M44,'Water Charges'!$D$49:$G$49)),2)</f>
        <v>34486.32</v>
      </c>
      <c r="S44" s="68">
        <f>ROUND((SUMPRODUCT($J44:$M44,'Water Charges'!$D$50:$G$50)),2)</f>
        <v>37305.980000000003</v>
      </c>
      <c r="T44" s="68"/>
      <c r="V44" s="79"/>
      <c r="W44" s="79"/>
    </row>
    <row r="45" spans="2:23">
      <c r="B45" s="43">
        <v>6</v>
      </c>
      <c r="C45" s="42">
        <v>1500</v>
      </c>
      <c r="D45" s="34">
        <f t="shared" si="7"/>
        <v>51318.080000000002</v>
      </c>
      <c r="E45" s="34">
        <f t="shared" si="7"/>
        <v>55515</v>
      </c>
      <c r="F45" s="34">
        <f>(+E45/D45-1)*100</f>
        <v>8.1782482898814521</v>
      </c>
      <c r="J45" s="33">
        <f>IF($C45&gt;J$11,J$11,$C45)</f>
        <v>2</v>
      </c>
      <c r="K45" s="33">
        <f>IF($C45&gt;K$11,K$11,$C45)-SUM($J45:J45)</f>
        <v>98</v>
      </c>
      <c r="L45" s="33">
        <f>IF($C45&gt;L$11,L$11,$C45)-SUM($J45:K45)</f>
        <v>1400</v>
      </c>
      <c r="M45" s="33">
        <f>$C45-SUM($J45:L45)</f>
        <v>0</v>
      </c>
      <c r="O45">
        <f>SUMIF('Water Charges'!$B$14:$B$25,'Typical Bills WATER'!$B45,'Water Charges'!D$14:D$25)</f>
        <v>66.760000000000005</v>
      </c>
      <c r="P45">
        <f>SUMIF('Water Charges'!$B$14:$B$25,'Typical Bills WATER'!$B45,'Water Charges'!E$14:E$25)</f>
        <v>69.02</v>
      </c>
      <c r="R45" s="68">
        <f>ROUND((SUMPRODUCT($J45:$M45,'Water Charges'!$D$49:$G$49)),2)</f>
        <v>51251.32</v>
      </c>
      <c r="S45" s="68">
        <f>ROUND((SUMPRODUCT($J45:$M45,'Water Charges'!$D$50:$G$50)),2)</f>
        <v>55445.98</v>
      </c>
      <c r="T45" s="68"/>
      <c r="V45" s="79"/>
      <c r="W45" s="79"/>
    </row>
    <row r="46" spans="2:23">
      <c r="B46" s="32"/>
      <c r="C46" s="25"/>
      <c r="D46" s="34"/>
      <c r="E46" s="34"/>
      <c r="R46" s="68"/>
      <c r="S46" s="68"/>
      <c r="T46" s="68"/>
      <c r="U46" s="68"/>
      <c r="V46" s="68"/>
      <c r="W46" s="68"/>
    </row>
    <row r="47" spans="2:23">
      <c r="B47" s="43">
        <v>8</v>
      </c>
      <c r="C47" s="42">
        <v>750</v>
      </c>
      <c r="D47" s="34">
        <f t="shared" ref="D47:E50" si="8">+O47+R47</f>
        <v>26205.66</v>
      </c>
      <c r="E47" s="34">
        <f t="shared" si="8"/>
        <v>28341.37</v>
      </c>
      <c r="F47" s="34">
        <f>(+E47/D47-1)*100</f>
        <v>8.1498042789229572</v>
      </c>
      <c r="J47" s="33">
        <f>IF($C47&gt;J$11,J$11,$C47)</f>
        <v>2</v>
      </c>
      <c r="K47" s="33">
        <f>IF($C47&gt;K$11,K$11,$C47)-SUM($J47:J47)</f>
        <v>98</v>
      </c>
      <c r="L47" s="33">
        <f>IF($C47&gt;L$11,L$11,$C47)-SUM($J47:K47)</f>
        <v>650</v>
      </c>
      <c r="M47" s="33">
        <f>$C47-SUM($J47:L47)</f>
        <v>0</v>
      </c>
      <c r="O47">
        <f>SUMIF('Water Charges'!$B$14:$B$25,'Typical Bills WATER'!$B47,'Water Charges'!D$14:D$25)</f>
        <v>101.84</v>
      </c>
      <c r="P47">
        <f>SUMIF('Water Charges'!$B$14:$B$25,'Typical Bills WATER'!$B47,'Water Charges'!E$14:E$25)</f>
        <v>105.39</v>
      </c>
      <c r="R47" s="68">
        <f>ROUND((SUMPRODUCT($J47:$M47,'Water Charges'!$D$49:$G$49)),2)</f>
        <v>26103.82</v>
      </c>
      <c r="S47" s="68">
        <f>ROUND((SUMPRODUCT($J47:$M47,'Water Charges'!$D$50:$G$50)),2)</f>
        <v>28235.98</v>
      </c>
      <c r="T47" s="68"/>
      <c r="V47" s="79"/>
      <c r="W47" s="79"/>
    </row>
    <row r="48" spans="2:23">
      <c r="B48" s="43">
        <v>8</v>
      </c>
      <c r="C48" s="42">
        <v>1500</v>
      </c>
      <c r="D48" s="34">
        <f t="shared" si="8"/>
        <v>51353.159999999996</v>
      </c>
      <c r="E48" s="34">
        <f t="shared" si="8"/>
        <v>55551.37</v>
      </c>
      <c r="F48" s="34">
        <f>(+E48/D48-1)*100</f>
        <v>8.1751736407263067</v>
      </c>
      <c r="J48" s="33">
        <f>IF($C48&gt;J$11,J$11,$C48)</f>
        <v>2</v>
      </c>
      <c r="K48" s="33">
        <f>IF($C48&gt;K$11,K$11,$C48)-SUM($J48:J48)</f>
        <v>98</v>
      </c>
      <c r="L48" s="33">
        <f>IF($C48&gt;L$11,L$11,$C48)-SUM($J48:K48)</f>
        <v>1400</v>
      </c>
      <c r="M48" s="33">
        <f>$C48-SUM($J48:L48)</f>
        <v>0</v>
      </c>
      <c r="O48">
        <f>SUMIF('Water Charges'!$B$14:$B$25,'Typical Bills WATER'!$B48,'Water Charges'!D$14:D$25)</f>
        <v>101.84</v>
      </c>
      <c r="P48">
        <f>SUMIF('Water Charges'!$B$14:$B$25,'Typical Bills WATER'!$B48,'Water Charges'!E$14:E$25)</f>
        <v>105.39</v>
      </c>
      <c r="R48" s="68">
        <f>ROUND((SUMPRODUCT($J48:$M48,'Water Charges'!$D$49:$G$49)),2)</f>
        <v>51251.32</v>
      </c>
      <c r="S48" s="68">
        <f>ROUND((SUMPRODUCT($J48:$M48,'Water Charges'!$D$50:$G$50)),2)</f>
        <v>55445.98</v>
      </c>
      <c r="T48" s="68"/>
      <c r="V48" s="79"/>
      <c r="W48" s="79"/>
    </row>
    <row r="49" spans="2:23">
      <c r="B49" s="43">
        <v>8</v>
      </c>
      <c r="C49" s="42">
        <v>2000</v>
      </c>
      <c r="D49" s="34">
        <f t="shared" si="8"/>
        <v>68118.16</v>
      </c>
      <c r="E49" s="34">
        <f t="shared" si="8"/>
        <v>73691.37</v>
      </c>
      <c r="F49" s="34">
        <f>(+E49/D49-1)*100</f>
        <v>8.1816801863115352</v>
      </c>
      <c r="J49" s="33">
        <f>IF($C49&gt;J$11,J$11,$C49)</f>
        <v>2</v>
      </c>
      <c r="K49" s="33">
        <f>IF($C49&gt;K$11,K$11,$C49)-SUM($J49:J49)</f>
        <v>98</v>
      </c>
      <c r="L49" s="33">
        <f>IF($C49&gt;L$11,L$11,$C49)-SUM($J49:K49)</f>
        <v>1900</v>
      </c>
      <c r="M49" s="33">
        <f>$C49-SUM($J49:L49)</f>
        <v>0</v>
      </c>
      <c r="O49">
        <f>SUMIF('Water Charges'!$B$14:$B$25,'Typical Bills WATER'!$B49,'Water Charges'!D$14:D$25)</f>
        <v>101.84</v>
      </c>
      <c r="P49">
        <f>SUMIF('Water Charges'!$B$14:$B$25,'Typical Bills WATER'!$B49,'Water Charges'!E$14:E$25)</f>
        <v>105.39</v>
      </c>
      <c r="R49" s="68">
        <f>ROUND((SUMPRODUCT($J49:$M49,'Water Charges'!$D$49:$G$49)),2)</f>
        <v>68016.320000000007</v>
      </c>
      <c r="S49" s="68">
        <f>ROUND((SUMPRODUCT($J49:$M49,'Water Charges'!$D$50:$G$50)),2)</f>
        <v>73585.98</v>
      </c>
      <c r="T49" s="68"/>
      <c r="V49" s="79"/>
      <c r="W49" s="79"/>
    </row>
    <row r="50" spans="2:23">
      <c r="B50" s="43">
        <v>8</v>
      </c>
      <c r="C50" s="42">
        <v>3000</v>
      </c>
      <c r="D50" s="34">
        <f t="shared" si="8"/>
        <v>100748.16</v>
      </c>
      <c r="E50" s="34">
        <f t="shared" si="8"/>
        <v>109011.37</v>
      </c>
      <c r="F50" s="34">
        <f>(+E50/D50-1)*100</f>
        <v>8.2018470610282002</v>
      </c>
      <c r="J50" s="33">
        <f>IF($C50&gt;J$11,J$11,$C50)</f>
        <v>2</v>
      </c>
      <c r="K50" s="33">
        <f>IF($C50&gt;K$11,K$11,$C50)-SUM($J50:J50)</f>
        <v>98</v>
      </c>
      <c r="L50" s="33">
        <f>IF($C50&gt;L$11,L$11,$C50)-SUM($J50:K50)</f>
        <v>1900</v>
      </c>
      <c r="M50" s="33">
        <f>$C50-SUM($J50:L50)</f>
        <v>1000</v>
      </c>
      <c r="O50">
        <f>SUMIF('Water Charges'!$B$14:$B$25,'Typical Bills WATER'!$B50,'Water Charges'!D$14:D$25)</f>
        <v>101.84</v>
      </c>
      <c r="P50">
        <f>SUMIF('Water Charges'!$B$14:$B$25,'Typical Bills WATER'!$B50,'Water Charges'!E$14:E$25)</f>
        <v>105.39</v>
      </c>
      <c r="R50" s="68">
        <f>ROUND((SUMPRODUCT($J50:$M50,'Water Charges'!$D$49:$G$49)),2)</f>
        <v>100646.32</v>
      </c>
      <c r="S50" s="68">
        <f>ROUND((SUMPRODUCT($J50:$M50,'Water Charges'!$D$50:$G$50)),2)</f>
        <v>108905.98</v>
      </c>
      <c r="T50" s="68"/>
      <c r="V50" s="79"/>
      <c r="W50" s="79"/>
    </row>
    <row r="51" spans="2:23">
      <c r="B51" s="32"/>
      <c r="C51" s="25"/>
      <c r="D51" s="34"/>
      <c r="E51" s="34"/>
      <c r="R51" s="68"/>
      <c r="S51" s="68"/>
      <c r="T51" s="68"/>
      <c r="U51" s="68"/>
      <c r="V51" s="68"/>
      <c r="W51" s="68"/>
    </row>
    <row r="52" spans="2:23">
      <c r="B52" s="43">
        <v>10</v>
      </c>
      <c r="C52" s="42">
        <v>600</v>
      </c>
      <c r="D52" s="34">
        <f t="shared" ref="D52:E55" si="9">+O52+R52</f>
        <v>21223.31</v>
      </c>
      <c r="E52" s="34">
        <f t="shared" si="9"/>
        <v>22948.11</v>
      </c>
      <c r="F52" s="34">
        <f>(+E52/D52-1)*100</f>
        <v>8.126913285439441</v>
      </c>
      <c r="J52" s="33">
        <f>IF($C52&gt;J$11,J$11,$C52)</f>
        <v>2</v>
      </c>
      <c r="K52" s="33">
        <f>IF($C52&gt;K$11,K$11,$C52)-SUM($J52:J52)</f>
        <v>98</v>
      </c>
      <c r="L52" s="33">
        <f>IF($C52&gt;L$11,L$11,$C52)-SUM($J52:K52)</f>
        <v>500</v>
      </c>
      <c r="M52" s="33">
        <f>$C52-SUM($J52:L52)</f>
        <v>0</v>
      </c>
      <c r="O52">
        <f>SUMIF('Water Charges'!$B$14:$B$25,'Typical Bills WATER'!$B52,'Water Charges'!D$14:D$25)</f>
        <v>148.99</v>
      </c>
      <c r="P52">
        <f>SUMIF('Water Charges'!$B$14:$B$25,'Typical Bills WATER'!$B52,'Water Charges'!E$14:E$25)</f>
        <v>154.13</v>
      </c>
      <c r="R52" s="68">
        <f>ROUND((SUMPRODUCT($J52:$M52,'Water Charges'!$D$49:$G$49)),2)</f>
        <v>21074.32</v>
      </c>
      <c r="S52" s="68">
        <f>ROUND((SUMPRODUCT($J52:$M52,'Water Charges'!$D$50:$G$50)),2)</f>
        <v>22793.98</v>
      </c>
      <c r="T52" s="68"/>
      <c r="V52" s="79"/>
      <c r="W52" s="79"/>
    </row>
    <row r="53" spans="2:23">
      <c r="B53" s="43">
        <v>10</v>
      </c>
      <c r="C53" s="42">
        <v>1700</v>
      </c>
      <c r="D53" s="34">
        <f t="shared" si="9"/>
        <v>58106.31</v>
      </c>
      <c r="E53" s="34">
        <f t="shared" si="9"/>
        <v>62856.11</v>
      </c>
      <c r="F53" s="34">
        <f>(+E53/D53-1)*100</f>
        <v>8.1743273665114913</v>
      </c>
      <c r="J53" s="33">
        <f>IF($C53&gt;J$11,J$11,$C53)</f>
        <v>2</v>
      </c>
      <c r="K53" s="33">
        <f>IF($C53&gt;K$11,K$11,$C53)-SUM($J53:J53)</f>
        <v>98</v>
      </c>
      <c r="L53" s="33">
        <f>IF($C53&gt;L$11,L$11,$C53)-SUM($J53:K53)</f>
        <v>1600</v>
      </c>
      <c r="M53" s="33">
        <f>$C53-SUM($J53:L53)</f>
        <v>0</v>
      </c>
      <c r="O53">
        <f>SUMIF('Water Charges'!$B$14:$B$25,'Typical Bills WATER'!$B53,'Water Charges'!D$14:D$25)</f>
        <v>148.99</v>
      </c>
      <c r="P53">
        <f>SUMIF('Water Charges'!$B$14:$B$25,'Typical Bills WATER'!$B53,'Water Charges'!E$14:E$25)</f>
        <v>154.13</v>
      </c>
      <c r="R53" s="68">
        <f>ROUND((SUMPRODUCT($J53:$M53,'Water Charges'!$D$49:$G$49)),2)</f>
        <v>57957.32</v>
      </c>
      <c r="S53" s="68">
        <f>ROUND((SUMPRODUCT($J53:$M53,'Water Charges'!$D$50:$G$50)),2)</f>
        <v>62701.98</v>
      </c>
      <c r="T53" s="68"/>
      <c r="V53" s="79"/>
      <c r="W53" s="79"/>
    </row>
    <row r="54" spans="2:23">
      <c r="B54" s="43">
        <v>10</v>
      </c>
      <c r="C54" s="42">
        <v>3300</v>
      </c>
      <c r="D54" s="34">
        <f t="shared" si="9"/>
        <v>110584.31000000001</v>
      </c>
      <c r="E54" s="34">
        <f t="shared" si="9"/>
        <v>119656.11</v>
      </c>
      <c r="F54" s="34">
        <f>(+E54/D54-1)*100</f>
        <v>8.2035145853873725</v>
      </c>
      <c r="J54" s="33">
        <f>IF($C54&gt;J$11,J$11,$C54)</f>
        <v>2</v>
      </c>
      <c r="K54" s="33">
        <f>IF($C54&gt;K$11,K$11,$C54)-SUM($J54:J54)</f>
        <v>98</v>
      </c>
      <c r="L54" s="33">
        <f>IF($C54&gt;L$11,L$11,$C54)-SUM($J54:K54)</f>
        <v>1900</v>
      </c>
      <c r="M54" s="33">
        <f>$C54-SUM($J54:L54)</f>
        <v>1300</v>
      </c>
      <c r="O54">
        <f>SUMIF('Water Charges'!$B$14:$B$25,'Typical Bills WATER'!$B54,'Water Charges'!D$14:D$25)</f>
        <v>148.99</v>
      </c>
      <c r="P54">
        <f>SUMIF('Water Charges'!$B$14:$B$25,'Typical Bills WATER'!$B54,'Water Charges'!E$14:E$25)</f>
        <v>154.13</v>
      </c>
      <c r="R54" s="68">
        <f>ROUND((SUMPRODUCT($J54:$M54,'Water Charges'!$D$49:$G$49)),2)</f>
        <v>110435.32</v>
      </c>
      <c r="S54" s="68">
        <f>ROUND((SUMPRODUCT($J54:$M54,'Water Charges'!$D$50:$G$50)),2)</f>
        <v>119501.98</v>
      </c>
      <c r="T54" s="68"/>
      <c r="V54" s="79"/>
      <c r="W54" s="79"/>
    </row>
    <row r="55" spans="2:23">
      <c r="B55" s="43">
        <v>10</v>
      </c>
      <c r="C55" s="42">
        <v>6000</v>
      </c>
      <c r="D55" s="34">
        <f t="shared" si="9"/>
        <v>198685.31</v>
      </c>
      <c r="E55" s="34">
        <f t="shared" si="9"/>
        <v>215020.11000000002</v>
      </c>
      <c r="F55" s="34">
        <f>(+E55/D55-1)*100</f>
        <v>8.2214432461061193</v>
      </c>
      <c r="J55" s="33">
        <f>IF($C55&gt;J$11,J$11,$C55)</f>
        <v>2</v>
      </c>
      <c r="K55" s="33">
        <f>IF($C55&gt;K$11,K$11,$C55)-SUM($J55:J55)</f>
        <v>98</v>
      </c>
      <c r="L55" s="33">
        <f>IF($C55&gt;L$11,L$11,$C55)-SUM($J55:K55)</f>
        <v>1900</v>
      </c>
      <c r="M55" s="33">
        <f>$C55-SUM($J55:L55)</f>
        <v>4000</v>
      </c>
      <c r="O55">
        <f>SUMIF('Water Charges'!$B$14:$B$25,'Typical Bills WATER'!$B55,'Water Charges'!D$14:D$25)</f>
        <v>148.99</v>
      </c>
      <c r="P55">
        <f>SUMIF('Water Charges'!$B$14:$B$25,'Typical Bills WATER'!$B55,'Water Charges'!E$14:E$25)</f>
        <v>154.13</v>
      </c>
      <c r="R55" s="68">
        <f>ROUND((SUMPRODUCT($J55:$M55,'Water Charges'!$D$49:$G$49)),2)</f>
        <v>198536.32000000001</v>
      </c>
      <c r="S55" s="68">
        <f>ROUND((SUMPRODUCT($J55:$M55,'Water Charges'!$D$50:$G$50)),2)</f>
        <v>214865.98</v>
      </c>
      <c r="T55" s="68"/>
      <c r="V55" s="79"/>
      <c r="W55" s="79"/>
    </row>
    <row r="56" spans="2:23">
      <c r="B56" s="25"/>
      <c r="C56" s="25"/>
      <c r="D56" s="25"/>
      <c r="E56" s="25"/>
      <c r="F56" s="25"/>
    </row>
    <row r="57" spans="2:23">
      <c r="B57" s="25" t="s">
        <v>17</v>
      </c>
      <c r="C57" s="25"/>
      <c r="D57" s="25"/>
      <c r="E57" s="25"/>
      <c r="F57" s="25"/>
    </row>
  </sheetData>
  <mergeCells count="2">
    <mergeCell ref="E9:F9"/>
    <mergeCell ref="B6:F6"/>
  </mergeCells>
  <hyperlinks>
    <hyperlink ref="A1" location="TOC!A1" display="TOC!A1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W57"/>
  <sheetViews>
    <sheetView workbookViewId="0"/>
  </sheetViews>
  <sheetFormatPr defaultRowHeight="14"/>
  <cols>
    <col min="2" max="2" width="11.54296875" customWidth="1"/>
    <col min="3" max="3" width="12.1796875" customWidth="1"/>
    <col min="4" max="4" width="12.453125" customWidth="1"/>
    <col min="5" max="5" width="14" customWidth="1"/>
    <col min="6" max="6" width="13.1796875" customWidth="1"/>
  </cols>
  <sheetData>
    <row r="1" spans="1:23" ht="14.5" thickBot="1">
      <c r="A1" s="134" t="s">
        <v>127</v>
      </c>
    </row>
    <row r="2" spans="1:23" ht="18">
      <c r="B2" s="24"/>
      <c r="C2" s="24"/>
      <c r="D2" s="24"/>
      <c r="E2" s="24"/>
      <c r="F2" s="24"/>
    </row>
    <row r="3" spans="1:23" ht="18">
      <c r="B3" s="24"/>
      <c r="C3" s="24"/>
      <c r="D3" s="24"/>
      <c r="E3" s="24"/>
      <c r="F3" s="24"/>
    </row>
    <row r="4" spans="1:23" ht="18">
      <c r="B4" s="187" t="s">
        <v>74</v>
      </c>
      <c r="C4" s="187"/>
      <c r="D4" s="187"/>
      <c r="E4" s="187"/>
      <c r="F4" s="187"/>
    </row>
    <row r="5" spans="1:23" ht="18">
      <c r="B5" s="187" t="s">
        <v>117</v>
      </c>
      <c r="C5" s="187"/>
      <c r="D5" s="187"/>
      <c r="E5" s="187"/>
      <c r="F5" s="187"/>
    </row>
    <row r="6" spans="1:23" ht="18">
      <c r="B6" s="187" t="s">
        <v>24</v>
      </c>
      <c r="C6" s="187"/>
      <c r="D6" s="187"/>
      <c r="E6" s="187"/>
      <c r="F6" s="187"/>
    </row>
    <row r="7" spans="1:23">
      <c r="B7" s="26"/>
      <c r="C7" s="26"/>
      <c r="D7" s="26"/>
      <c r="E7" s="27"/>
      <c r="F7" s="26"/>
      <c r="S7" s="21"/>
    </row>
    <row r="8" spans="1:23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23" ht="15.5">
      <c r="B9" s="28"/>
      <c r="C9" s="28"/>
      <c r="D9" s="48" t="str">
        <f>Inputs!$C$4</f>
        <v>FY 2022</v>
      </c>
      <c r="E9" s="186" t="str">
        <f>Inputs!$D$4</f>
        <v>FY 2023</v>
      </c>
      <c r="F9" s="186"/>
      <c r="O9" t="s">
        <v>37</v>
      </c>
      <c r="R9" t="s">
        <v>103</v>
      </c>
    </row>
    <row r="10" spans="1:23">
      <c r="B10" s="30" t="s">
        <v>53</v>
      </c>
      <c r="C10" s="30" t="s">
        <v>1</v>
      </c>
      <c r="D10" s="30" t="s">
        <v>30</v>
      </c>
      <c r="E10" s="30" t="s">
        <v>110</v>
      </c>
      <c r="F10" s="30" t="s">
        <v>124</v>
      </c>
    </row>
    <row r="11" spans="1:23" ht="15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  <c r="O11" s="4" t="str">
        <f>Inputs!$C$4</f>
        <v>FY 2022</v>
      </c>
      <c r="P11" s="4" t="str">
        <f>Inputs!$D$4</f>
        <v>FY 2023</v>
      </c>
      <c r="R11" s="4" t="str">
        <f>Inputs!$C$4</f>
        <v>FY 2022</v>
      </c>
      <c r="S11" s="4" t="str">
        <f>Inputs!$D$4</f>
        <v>FY 2023</v>
      </c>
      <c r="U11" s="4"/>
      <c r="V11" s="4"/>
      <c r="W11" s="4"/>
    </row>
    <row r="12" spans="1:23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23">
      <c r="B13" s="25"/>
      <c r="C13" s="25"/>
      <c r="D13" s="25"/>
      <c r="E13" s="25"/>
      <c r="F13" s="25"/>
    </row>
    <row r="14" spans="1:23">
      <c r="B14" s="32" t="str">
        <f>+'Typical Bills WATER'!B14</f>
        <v>5/8</v>
      </c>
      <c r="C14" s="33">
        <f>+'Typical Bills WATER'!C14</f>
        <v>0</v>
      </c>
      <c r="D14" s="34">
        <f t="shared" ref="D14:D25" si="0">+O14+R14</f>
        <v>7.2</v>
      </c>
      <c r="E14" s="34">
        <f t="shared" ref="E14:E25" si="1">+P14+S14</f>
        <v>7.54</v>
      </c>
      <c r="F14" s="33">
        <f t="shared" ref="F14:F24" si="2">(+E14/D14-1)*100</f>
        <v>4.7222222222222276</v>
      </c>
      <c r="O14" s="34">
        <f>SUMIF('Wastewater Charges'!$C$15:$C$26,'Typical Bills SANITARY'!$B14,'Wastewater Charges'!E$15:E$26)</f>
        <v>7.2</v>
      </c>
      <c r="P14" s="34">
        <f>SUMIF('Wastewater Charges'!$C$15:$C$26,'Typical Bills SANITARY'!$B14,'Wastewater Charges'!F$15:F$26)</f>
        <v>7.54</v>
      </c>
      <c r="R14" s="34">
        <f>ROUND(($C14*('Wastewater Charges'!E$35+'Wastewater Charges'!E$45)),2)</f>
        <v>0</v>
      </c>
      <c r="S14" s="34">
        <f>ROUND(($C14*('Wastewater Charges'!F$35+'Wastewater Charges'!F$45)),2)</f>
        <v>0</v>
      </c>
      <c r="U14" s="34"/>
      <c r="V14" s="34"/>
      <c r="W14" s="34"/>
    </row>
    <row r="15" spans="1:23">
      <c r="B15" s="32" t="str">
        <f>+'Typical Bills WATER'!B15</f>
        <v>5/8</v>
      </c>
      <c r="C15" s="33">
        <f>+'Typical Bills WATER'!C15</f>
        <v>0.2</v>
      </c>
      <c r="D15" s="34">
        <f t="shared" si="0"/>
        <v>13.940000000000001</v>
      </c>
      <c r="E15" s="34">
        <f t="shared" si="1"/>
        <v>14.879999999999999</v>
      </c>
      <c r="F15" s="33">
        <f>(+E15/D15-1)*100</f>
        <v>6.743185078909586</v>
      </c>
      <c r="O15" s="34">
        <f>SUMIF('Wastewater Charges'!$C$15:$C$26,'Typical Bills SANITARY'!$B15,'Wastewater Charges'!E$15:E$26)</f>
        <v>7.2</v>
      </c>
      <c r="P15" s="34">
        <f>SUMIF('Wastewater Charges'!$C$15:$C$26,'Typical Bills SANITARY'!$B15,'Wastewater Charges'!F$15:F$26)</f>
        <v>7.54</v>
      </c>
      <c r="R15" s="34">
        <f>ROUND(($C15*('Wastewater Charges'!E$35+'Wastewater Charges'!E$45)),2)</f>
        <v>6.74</v>
      </c>
      <c r="S15" s="34">
        <f>ROUND(($C15*('Wastewater Charges'!F$35+'Wastewater Charges'!F$45)),2)</f>
        <v>7.34</v>
      </c>
      <c r="U15" s="34"/>
      <c r="V15" s="34"/>
      <c r="W15" s="34"/>
    </row>
    <row r="16" spans="1:23">
      <c r="B16" s="32" t="str">
        <f>+'Typical Bills WATER'!B16</f>
        <v>5/8</v>
      </c>
      <c r="C16" s="33">
        <f>+'Typical Bills WATER'!C16</f>
        <v>0.3</v>
      </c>
      <c r="D16" s="34">
        <f t="shared" si="0"/>
        <v>17.309999999999999</v>
      </c>
      <c r="E16" s="34">
        <f t="shared" si="1"/>
        <v>18.559999999999999</v>
      </c>
      <c r="F16" s="33">
        <f t="shared" si="2"/>
        <v>7.2212593876372022</v>
      </c>
      <c r="H16" s="21"/>
      <c r="O16" s="34">
        <f>SUMIF('Wastewater Charges'!$C$15:$C$26,'Typical Bills SANITARY'!$B16,'Wastewater Charges'!E$15:E$26)</f>
        <v>7.2</v>
      </c>
      <c r="P16" s="34">
        <f>SUMIF('Wastewater Charges'!$C$15:$C$26,'Typical Bills SANITARY'!$B16,'Wastewater Charges'!F$15:F$26)</f>
        <v>7.54</v>
      </c>
      <c r="R16" s="34">
        <f>ROUND(($C16*('Wastewater Charges'!E$35+'Wastewater Charges'!E$45)),2)</f>
        <v>10.11</v>
      </c>
      <c r="S16" s="34">
        <f>ROUND(($C16*('Wastewater Charges'!F$35+'Wastewater Charges'!F$45)),2)</f>
        <v>11.02</v>
      </c>
      <c r="U16" s="34"/>
      <c r="V16" s="34"/>
      <c r="W16" s="34"/>
    </row>
    <row r="17" spans="2:23">
      <c r="B17" s="32" t="str">
        <f>+'Typical Bills WATER'!B17</f>
        <v>5/8</v>
      </c>
      <c r="C17" s="33">
        <f>+'Typical Bills WATER'!C17</f>
        <v>0.4</v>
      </c>
      <c r="D17" s="34">
        <f t="shared" si="0"/>
        <v>20.68</v>
      </c>
      <c r="E17" s="34">
        <f t="shared" si="1"/>
        <v>22.23</v>
      </c>
      <c r="F17" s="33">
        <f>(+E17/D17-1)*100</f>
        <v>7.4951644100580417</v>
      </c>
      <c r="O17" s="34">
        <f>SUMIF('Wastewater Charges'!$C$15:$C$26,'Typical Bills SANITARY'!$B17,'Wastewater Charges'!E$15:E$26)</f>
        <v>7.2</v>
      </c>
      <c r="P17" s="34">
        <f>SUMIF('Wastewater Charges'!$C$15:$C$26,'Typical Bills SANITARY'!$B17,'Wastewater Charges'!F$15:F$26)</f>
        <v>7.54</v>
      </c>
      <c r="R17" s="34">
        <f>ROUND(($C17*('Wastewater Charges'!E$35+'Wastewater Charges'!E$45)),2)</f>
        <v>13.48</v>
      </c>
      <c r="S17" s="34">
        <f>ROUND(($C17*('Wastewater Charges'!F$35+'Wastewater Charges'!F$45)),2)</f>
        <v>14.69</v>
      </c>
      <c r="U17" s="34"/>
      <c r="V17" s="34"/>
      <c r="W17" s="34"/>
    </row>
    <row r="18" spans="2:23" ht="15.75" customHeight="1">
      <c r="B18" s="32" t="str">
        <f>+'Typical Bills WATER'!B18</f>
        <v>5/8</v>
      </c>
      <c r="C18" s="33">
        <f>+'Typical Bills WATER'!C18</f>
        <v>0.5</v>
      </c>
      <c r="D18" s="34">
        <f t="shared" si="0"/>
        <v>24.05</v>
      </c>
      <c r="E18" s="34">
        <f t="shared" si="1"/>
        <v>25.9</v>
      </c>
      <c r="F18" s="33">
        <f t="shared" si="2"/>
        <v>7.6923076923076872</v>
      </c>
      <c r="O18" s="34">
        <f>SUMIF('Wastewater Charges'!$C$15:$C$26,'Typical Bills SANITARY'!$B18,'Wastewater Charges'!E$15:E$26)</f>
        <v>7.2</v>
      </c>
      <c r="P18" s="34">
        <f>SUMIF('Wastewater Charges'!$C$15:$C$26,'Typical Bills SANITARY'!$B18,'Wastewater Charges'!F$15:F$26)</f>
        <v>7.54</v>
      </c>
      <c r="R18" s="34">
        <f>ROUND(($C18*('Wastewater Charges'!E$35+'Wastewater Charges'!E$45)),2)</f>
        <v>16.850000000000001</v>
      </c>
      <c r="S18" s="34">
        <f>ROUND(($C18*('Wastewater Charges'!F$35+'Wastewater Charges'!F$45)),2)</f>
        <v>18.36</v>
      </c>
      <c r="U18" s="34"/>
      <c r="V18" s="34"/>
      <c r="W18" s="34"/>
    </row>
    <row r="19" spans="2:23">
      <c r="B19" s="32" t="str">
        <f>+'Typical Bills WATER'!B19</f>
        <v>5/8</v>
      </c>
      <c r="C19" s="33">
        <f>+'Typical Bills WATER'!C19</f>
        <v>0.6</v>
      </c>
      <c r="D19" s="34">
        <f t="shared" si="0"/>
        <v>27.419999999999998</v>
      </c>
      <c r="E19" s="34">
        <f t="shared" si="1"/>
        <v>29.57</v>
      </c>
      <c r="F19" s="33">
        <f t="shared" si="2"/>
        <v>7.8409919766593728</v>
      </c>
      <c r="O19" s="34">
        <f>SUMIF('Wastewater Charges'!$C$15:$C$26,'Typical Bills SANITARY'!$B19,'Wastewater Charges'!E$15:E$26)</f>
        <v>7.2</v>
      </c>
      <c r="P19" s="34">
        <f>SUMIF('Wastewater Charges'!$C$15:$C$26,'Typical Bills SANITARY'!$B19,'Wastewater Charges'!F$15:F$26)</f>
        <v>7.54</v>
      </c>
      <c r="R19" s="34">
        <f>ROUND(($C19*('Wastewater Charges'!E$35+'Wastewater Charges'!E$45)),2)</f>
        <v>20.22</v>
      </c>
      <c r="S19" s="34">
        <f>ROUND(($C19*('Wastewater Charges'!F$35+'Wastewater Charges'!F$45)),2)</f>
        <v>22.03</v>
      </c>
      <c r="U19" s="34"/>
      <c r="V19" s="34"/>
      <c r="W19" s="34"/>
    </row>
    <row r="20" spans="2:23">
      <c r="B20" s="32" t="str">
        <f>+'Typical Bills WATER'!B20</f>
        <v>5/8</v>
      </c>
      <c r="C20" s="33">
        <f>+'Typical Bills WATER'!C20</f>
        <v>0.7</v>
      </c>
      <c r="D20" s="34">
        <f t="shared" si="0"/>
        <v>30.79</v>
      </c>
      <c r="E20" s="34">
        <f t="shared" si="1"/>
        <v>33.24</v>
      </c>
      <c r="F20" s="33">
        <f t="shared" si="2"/>
        <v>7.957128937966873</v>
      </c>
      <c r="O20" s="34">
        <f>SUMIF('Wastewater Charges'!$C$15:$C$26,'Typical Bills SANITARY'!$B20,'Wastewater Charges'!E$15:E$26)</f>
        <v>7.2</v>
      </c>
      <c r="P20" s="34">
        <f>SUMIF('Wastewater Charges'!$C$15:$C$26,'Typical Bills SANITARY'!$B20,'Wastewater Charges'!F$15:F$26)</f>
        <v>7.54</v>
      </c>
      <c r="R20" s="34">
        <f>ROUND(($C20*('Wastewater Charges'!E$35+'Wastewater Charges'!E$45)),2)</f>
        <v>23.59</v>
      </c>
      <c r="S20" s="34">
        <f>ROUND(($C20*('Wastewater Charges'!F$35+'Wastewater Charges'!F$45)),2)</f>
        <v>25.7</v>
      </c>
      <c r="U20" s="34"/>
      <c r="V20" s="34"/>
      <c r="W20" s="34"/>
    </row>
    <row r="21" spans="2:23">
      <c r="B21" s="32" t="str">
        <f>+'Typical Bills WATER'!B21</f>
        <v>5/8</v>
      </c>
      <c r="C21" s="33">
        <f>+'Typical Bills WATER'!C21</f>
        <v>0.8</v>
      </c>
      <c r="D21" s="34">
        <f t="shared" si="0"/>
        <v>34.160000000000004</v>
      </c>
      <c r="E21" s="34">
        <f t="shared" si="1"/>
        <v>36.92</v>
      </c>
      <c r="F21" s="33">
        <f t="shared" si="2"/>
        <v>8.0796252927400438</v>
      </c>
      <c r="O21" s="34">
        <f>SUMIF('Wastewater Charges'!$C$15:$C$26,'Typical Bills SANITARY'!$B21,'Wastewater Charges'!E$15:E$26)</f>
        <v>7.2</v>
      </c>
      <c r="P21" s="34">
        <f>SUMIF('Wastewater Charges'!$C$15:$C$26,'Typical Bills SANITARY'!$B21,'Wastewater Charges'!F$15:F$26)</f>
        <v>7.54</v>
      </c>
      <c r="R21" s="34">
        <f>ROUND(($C21*('Wastewater Charges'!E$35+'Wastewater Charges'!E$45)),2)</f>
        <v>26.96</v>
      </c>
      <c r="S21" s="34">
        <f>ROUND(($C21*('Wastewater Charges'!F$35+'Wastewater Charges'!F$45)),2)</f>
        <v>29.38</v>
      </c>
      <c r="U21" s="34"/>
      <c r="V21" s="34"/>
      <c r="W21" s="34"/>
    </row>
    <row r="22" spans="2:23">
      <c r="B22" s="32" t="str">
        <f>+'Typical Bills WATER'!B22</f>
        <v>5/8</v>
      </c>
      <c r="C22" s="33">
        <f>+'Typical Bills WATER'!C22</f>
        <v>1.7</v>
      </c>
      <c r="D22" s="34">
        <f t="shared" si="0"/>
        <v>64.489999999999995</v>
      </c>
      <c r="E22" s="34">
        <f t="shared" si="1"/>
        <v>69.960000000000008</v>
      </c>
      <c r="F22" s="33">
        <f t="shared" si="2"/>
        <v>8.4819351837494459</v>
      </c>
      <c r="O22" s="34">
        <f>SUMIF('Wastewater Charges'!$C$15:$C$26,'Typical Bills SANITARY'!$B22,'Wastewater Charges'!E$15:E$26)</f>
        <v>7.2</v>
      </c>
      <c r="P22" s="34">
        <f>SUMIF('Wastewater Charges'!$C$15:$C$26,'Typical Bills SANITARY'!$B22,'Wastewater Charges'!F$15:F$26)</f>
        <v>7.54</v>
      </c>
      <c r="R22" s="34">
        <f>ROUND(($C22*('Wastewater Charges'!E$35+'Wastewater Charges'!E$45)),2)</f>
        <v>57.29</v>
      </c>
      <c r="S22" s="34">
        <f>ROUND(($C22*('Wastewater Charges'!F$35+'Wastewater Charges'!F$45)),2)</f>
        <v>62.42</v>
      </c>
      <c r="U22" s="34"/>
      <c r="V22" s="34"/>
      <c r="W22" s="34"/>
    </row>
    <row r="23" spans="2:23">
      <c r="B23" s="32" t="str">
        <f>+'Typical Bills WATER'!B23</f>
        <v>5/8</v>
      </c>
      <c r="C23" s="33">
        <f>+'Typical Bills WATER'!C23</f>
        <v>2.7</v>
      </c>
      <c r="D23" s="34">
        <f t="shared" si="0"/>
        <v>98.19</v>
      </c>
      <c r="E23" s="34">
        <f t="shared" si="1"/>
        <v>106.68</v>
      </c>
      <c r="F23" s="33">
        <f t="shared" si="2"/>
        <v>8.6465016804155415</v>
      </c>
      <c r="O23" s="34">
        <f>SUMIF('Wastewater Charges'!$C$15:$C$26,'Typical Bills SANITARY'!$B23,'Wastewater Charges'!E$15:E$26)</f>
        <v>7.2</v>
      </c>
      <c r="P23" s="34">
        <f>SUMIF('Wastewater Charges'!$C$15:$C$26,'Typical Bills SANITARY'!$B23,'Wastewater Charges'!F$15:F$26)</f>
        <v>7.54</v>
      </c>
      <c r="R23" s="34">
        <f>ROUND(($C23*('Wastewater Charges'!E$35+'Wastewater Charges'!E$45)),2)</f>
        <v>90.99</v>
      </c>
      <c r="S23" s="34">
        <f>ROUND(($C23*('Wastewater Charges'!F$35+'Wastewater Charges'!F$45)),2)</f>
        <v>99.14</v>
      </c>
      <c r="U23" s="34"/>
      <c r="V23" s="34"/>
      <c r="W23" s="34"/>
    </row>
    <row r="24" spans="2:23">
      <c r="B24" s="32" t="str">
        <f>+'Typical Bills WATER'!B24</f>
        <v>5/8</v>
      </c>
      <c r="C24" s="33">
        <f>+'Typical Bills WATER'!C24</f>
        <v>3.3</v>
      </c>
      <c r="D24" s="34">
        <f t="shared" si="0"/>
        <v>118.41</v>
      </c>
      <c r="E24" s="34">
        <f t="shared" si="1"/>
        <v>128.72</v>
      </c>
      <c r="F24" s="33">
        <f t="shared" si="2"/>
        <v>8.7070348788109051</v>
      </c>
      <c r="O24" s="34">
        <f>SUMIF('Wastewater Charges'!$C$15:$C$26,'Typical Bills SANITARY'!$B24,'Wastewater Charges'!E$15:E$26)</f>
        <v>7.2</v>
      </c>
      <c r="P24" s="34">
        <f>SUMIF('Wastewater Charges'!$C$15:$C$26,'Typical Bills SANITARY'!$B24,'Wastewater Charges'!F$15:F$26)</f>
        <v>7.54</v>
      </c>
      <c r="R24" s="34">
        <f>ROUND(($C24*('Wastewater Charges'!E$35+'Wastewater Charges'!E$45)),2)</f>
        <v>111.21</v>
      </c>
      <c r="S24" s="34">
        <f>ROUND(($C24*('Wastewater Charges'!F$35+'Wastewater Charges'!F$45)),2)</f>
        <v>121.18</v>
      </c>
      <c r="U24" s="34"/>
      <c r="V24" s="34"/>
      <c r="W24" s="34"/>
    </row>
    <row r="25" spans="2:23">
      <c r="B25" s="32" t="str">
        <f>+'Typical Bills WATER'!B25</f>
        <v>5/8</v>
      </c>
      <c r="C25" s="33">
        <f>+'Typical Bills WATER'!C25</f>
        <v>11</v>
      </c>
      <c r="D25" s="34">
        <f t="shared" si="0"/>
        <v>377.9</v>
      </c>
      <c r="E25" s="34">
        <f t="shared" si="1"/>
        <v>411.46000000000004</v>
      </c>
      <c r="F25" s="33">
        <f>(+E25/D25-1)*100</f>
        <v>8.8806562582693935</v>
      </c>
      <c r="O25" s="34">
        <f>SUMIF('Wastewater Charges'!$C$15:$C$26,'Typical Bills SANITARY'!$B25,'Wastewater Charges'!E$15:E$26)</f>
        <v>7.2</v>
      </c>
      <c r="P25" s="34">
        <f>SUMIF('Wastewater Charges'!$C$15:$C$26,'Typical Bills SANITARY'!$B25,'Wastewater Charges'!F$15:F$26)</f>
        <v>7.54</v>
      </c>
      <c r="R25" s="34">
        <f>ROUND(($C25*('Wastewater Charges'!E$35+'Wastewater Charges'!E$45)),2)</f>
        <v>370.7</v>
      </c>
      <c r="S25" s="34">
        <f>ROUND(($C25*('Wastewater Charges'!F$35+'Wastewater Charges'!F$45)),2)</f>
        <v>403.92</v>
      </c>
      <c r="U25" s="34"/>
      <c r="V25" s="34"/>
      <c r="W25" s="34"/>
    </row>
    <row r="26" spans="2:23">
      <c r="B26" s="32"/>
      <c r="C26" s="25"/>
      <c r="D26" s="34"/>
      <c r="E26" s="34"/>
      <c r="F26" s="38"/>
      <c r="O26" s="34"/>
      <c r="P26" s="34"/>
      <c r="R26" s="34"/>
      <c r="S26" s="34"/>
    </row>
    <row r="27" spans="2:23">
      <c r="B27" s="32">
        <f>+'Typical Bills WATER'!B27</f>
        <v>1</v>
      </c>
      <c r="C27" s="33">
        <f>+'Typical Bills WATER'!C27</f>
        <v>1.7</v>
      </c>
      <c r="D27" s="34">
        <f t="shared" ref="D27:E30" si="3">+O27+R27</f>
        <v>70.69</v>
      </c>
      <c r="E27" s="34">
        <f t="shared" si="3"/>
        <v>76.56</v>
      </c>
      <c r="F27" s="33">
        <f>(+E27/D27-1)*100</f>
        <v>8.3038619323808192</v>
      </c>
      <c r="O27" s="34">
        <f>SUMIF('Wastewater Charges'!$C$15:$C$26,'Typical Bills SANITARY'!$B27,'Wastewater Charges'!E$15:E$26)</f>
        <v>13.4</v>
      </c>
      <c r="P27" s="34">
        <f>SUMIF('Wastewater Charges'!$C$15:$C$26,'Typical Bills SANITARY'!$B27,'Wastewater Charges'!F$15:F$26)</f>
        <v>14.14</v>
      </c>
      <c r="R27" s="34">
        <f>ROUND(($C27*('Wastewater Charges'!E$35+'Wastewater Charges'!E$45)),2)</f>
        <v>57.29</v>
      </c>
      <c r="S27" s="34">
        <f>ROUND(($C27*('Wastewater Charges'!F$35+'Wastewater Charges'!F$45)),2)</f>
        <v>62.42</v>
      </c>
      <c r="U27" s="34"/>
      <c r="V27" s="34"/>
      <c r="W27" s="34"/>
    </row>
    <row r="28" spans="2:23">
      <c r="B28" s="32">
        <f>+'Typical Bills WATER'!B28</f>
        <v>1</v>
      </c>
      <c r="C28" s="33">
        <f>+'Typical Bills WATER'!C28</f>
        <v>5</v>
      </c>
      <c r="D28" s="34">
        <f t="shared" si="3"/>
        <v>181.9</v>
      </c>
      <c r="E28" s="34">
        <f t="shared" si="3"/>
        <v>197.74</v>
      </c>
      <c r="F28" s="33">
        <f>(+E28/D28-1)*100</f>
        <v>8.7080813633864764</v>
      </c>
      <c r="O28" s="34">
        <f>SUMIF('Wastewater Charges'!$C$15:$C$26,'Typical Bills SANITARY'!$B28,'Wastewater Charges'!E$15:E$26)</f>
        <v>13.4</v>
      </c>
      <c r="P28" s="34">
        <f>SUMIF('Wastewater Charges'!$C$15:$C$26,'Typical Bills SANITARY'!$B28,'Wastewater Charges'!F$15:F$26)</f>
        <v>14.14</v>
      </c>
      <c r="R28" s="34">
        <f>ROUND(($C28*('Wastewater Charges'!E$35+'Wastewater Charges'!E$45)),2)</f>
        <v>168.5</v>
      </c>
      <c r="S28" s="34">
        <f>ROUND(($C28*('Wastewater Charges'!F$35+'Wastewater Charges'!F$45)),2)</f>
        <v>183.6</v>
      </c>
      <c r="U28" s="34"/>
      <c r="V28" s="34"/>
      <c r="W28" s="34"/>
    </row>
    <row r="29" spans="2:23">
      <c r="B29" s="32">
        <f>+'Typical Bills WATER'!B29</f>
        <v>1</v>
      </c>
      <c r="C29" s="33">
        <f>+'Typical Bills WATER'!C29</f>
        <v>8</v>
      </c>
      <c r="D29" s="34">
        <f t="shared" si="3"/>
        <v>283</v>
      </c>
      <c r="E29" s="34">
        <f t="shared" si="3"/>
        <v>307.89999999999998</v>
      </c>
      <c r="F29" s="33">
        <f>(+E29/D29-1)*100</f>
        <v>8.7985865724381505</v>
      </c>
      <c r="O29" s="34">
        <f>SUMIF('Wastewater Charges'!$C$15:$C$26,'Typical Bills SANITARY'!$B29,'Wastewater Charges'!E$15:E$26)</f>
        <v>13.4</v>
      </c>
      <c r="P29" s="34">
        <f>SUMIF('Wastewater Charges'!$C$15:$C$26,'Typical Bills SANITARY'!$B29,'Wastewater Charges'!F$15:F$26)</f>
        <v>14.14</v>
      </c>
      <c r="R29" s="34">
        <f>ROUND(($C29*('Wastewater Charges'!E$35+'Wastewater Charges'!E$45)),2)</f>
        <v>269.60000000000002</v>
      </c>
      <c r="S29" s="34">
        <f>ROUND(($C29*('Wastewater Charges'!F$35+'Wastewater Charges'!F$45)),2)</f>
        <v>293.76</v>
      </c>
      <c r="U29" s="34"/>
      <c r="V29" s="34"/>
      <c r="W29" s="34"/>
    </row>
    <row r="30" spans="2:23">
      <c r="B30" s="32">
        <f>+'Typical Bills WATER'!B30</f>
        <v>1</v>
      </c>
      <c r="C30" s="33">
        <f>+'Typical Bills WATER'!C30</f>
        <v>17</v>
      </c>
      <c r="D30" s="34">
        <f t="shared" si="3"/>
        <v>586.29999999999995</v>
      </c>
      <c r="E30" s="34">
        <f t="shared" si="3"/>
        <v>638.38</v>
      </c>
      <c r="F30" s="33">
        <f>(+E30/D30-1)*100</f>
        <v>8.8828244925805997</v>
      </c>
      <c r="O30" s="34">
        <f>SUMIF('Wastewater Charges'!$C$15:$C$26,'Typical Bills SANITARY'!$B30,'Wastewater Charges'!E$15:E$26)</f>
        <v>13.4</v>
      </c>
      <c r="P30" s="34">
        <f>SUMIF('Wastewater Charges'!$C$15:$C$26,'Typical Bills SANITARY'!$B30,'Wastewater Charges'!F$15:F$26)</f>
        <v>14.14</v>
      </c>
      <c r="R30" s="34">
        <f>ROUND(($C30*('Wastewater Charges'!E$35+'Wastewater Charges'!E$45)),2)</f>
        <v>572.9</v>
      </c>
      <c r="S30" s="34">
        <f>ROUND(($C30*('Wastewater Charges'!F$35+'Wastewater Charges'!F$45)),2)</f>
        <v>624.24</v>
      </c>
      <c r="U30" s="34"/>
      <c r="V30" s="34"/>
      <c r="W30" s="34"/>
    </row>
    <row r="31" spans="2:23">
      <c r="B31" s="32"/>
      <c r="C31" s="25"/>
      <c r="D31" s="34"/>
      <c r="E31" s="34"/>
      <c r="F31" s="38"/>
      <c r="O31" s="34"/>
      <c r="P31" s="34"/>
      <c r="R31" s="34"/>
      <c r="S31" s="34"/>
    </row>
    <row r="32" spans="2:23">
      <c r="B32" s="32">
        <f>+'Typical Bills WATER'!B32</f>
        <v>2</v>
      </c>
      <c r="C32" s="33">
        <f>+'Typical Bills WATER'!C32</f>
        <v>7.6</v>
      </c>
      <c r="D32" s="34">
        <f t="shared" ref="D32:E35" si="4">+O32+R32</f>
        <v>292.34000000000003</v>
      </c>
      <c r="E32" s="34">
        <f t="shared" si="4"/>
        <v>317.5</v>
      </c>
      <c r="F32" s="33">
        <f>(+E32/D32-1)*100</f>
        <v>8.6064171854689739</v>
      </c>
      <c r="O32" s="34">
        <f>SUMIF('Wastewater Charges'!$C$15:$C$26,'Typical Bills SANITARY'!$B32,'Wastewater Charges'!E$15:E$26)</f>
        <v>36.22</v>
      </c>
      <c r="P32" s="34">
        <f>SUMIF('Wastewater Charges'!$C$15:$C$26,'Typical Bills SANITARY'!$B32,'Wastewater Charges'!F$15:F$26)</f>
        <v>38.43</v>
      </c>
      <c r="R32" s="34">
        <f>ROUND(($C32*('Wastewater Charges'!E$35+'Wastewater Charges'!E$45)),2)</f>
        <v>256.12</v>
      </c>
      <c r="S32" s="34">
        <f>ROUND(($C32*('Wastewater Charges'!F$35+'Wastewater Charges'!F$45)),2)</f>
        <v>279.07</v>
      </c>
      <c r="U32" s="34"/>
      <c r="V32" s="34"/>
      <c r="W32" s="34"/>
    </row>
    <row r="33" spans="2:23">
      <c r="B33" s="32">
        <f>+'Typical Bills WATER'!B33</f>
        <v>2</v>
      </c>
      <c r="C33" s="33">
        <f>+'Typical Bills WATER'!C33</f>
        <v>16</v>
      </c>
      <c r="D33" s="34">
        <f t="shared" si="4"/>
        <v>575.42000000000007</v>
      </c>
      <c r="E33" s="34">
        <f t="shared" si="4"/>
        <v>625.94999999999993</v>
      </c>
      <c r="F33" s="33">
        <f>(+E33/D33-1)*100</f>
        <v>8.7814118383093831</v>
      </c>
      <c r="O33" s="34">
        <f>SUMIF('Wastewater Charges'!$C$15:$C$26,'Typical Bills SANITARY'!$B33,'Wastewater Charges'!E$15:E$26)</f>
        <v>36.22</v>
      </c>
      <c r="P33" s="34">
        <f>SUMIF('Wastewater Charges'!$C$15:$C$26,'Typical Bills SANITARY'!$B33,'Wastewater Charges'!F$15:F$26)</f>
        <v>38.43</v>
      </c>
      <c r="R33" s="34">
        <f>ROUND(($C33*('Wastewater Charges'!E$35+'Wastewater Charges'!E$45)),2)</f>
        <v>539.20000000000005</v>
      </c>
      <c r="S33" s="34">
        <f>ROUND(($C33*('Wastewater Charges'!F$35+'Wastewater Charges'!F$45)),2)</f>
        <v>587.52</v>
      </c>
      <c r="U33" s="34"/>
      <c r="V33" s="34"/>
      <c r="W33" s="34"/>
    </row>
    <row r="34" spans="2:23">
      <c r="B34" s="32">
        <f>+'Typical Bills WATER'!B34</f>
        <v>2</v>
      </c>
      <c r="C34" s="33">
        <f>+'Typical Bills WATER'!C34</f>
        <v>33</v>
      </c>
      <c r="D34" s="34">
        <f t="shared" si="4"/>
        <v>1148.32</v>
      </c>
      <c r="E34" s="34">
        <f t="shared" si="4"/>
        <v>1250.19</v>
      </c>
      <c r="F34" s="33">
        <f>(+E34/D34-1)*100</f>
        <v>8.8712205656959817</v>
      </c>
      <c r="O34" s="34">
        <f>SUMIF('Wastewater Charges'!$C$15:$C$26,'Typical Bills SANITARY'!$B34,'Wastewater Charges'!E$15:E$26)</f>
        <v>36.22</v>
      </c>
      <c r="P34" s="34">
        <f>SUMIF('Wastewater Charges'!$C$15:$C$26,'Typical Bills SANITARY'!$B34,'Wastewater Charges'!F$15:F$26)</f>
        <v>38.43</v>
      </c>
      <c r="R34" s="34">
        <f>ROUND(($C34*('Wastewater Charges'!E$35+'Wastewater Charges'!E$45)),2)</f>
        <v>1112.0999999999999</v>
      </c>
      <c r="S34" s="34">
        <f>ROUND(($C34*('Wastewater Charges'!F$35+'Wastewater Charges'!F$45)),2)</f>
        <v>1211.76</v>
      </c>
      <c r="U34" s="34"/>
      <c r="V34" s="34"/>
      <c r="W34" s="34"/>
    </row>
    <row r="35" spans="2:23">
      <c r="B35" s="32">
        <f>+'Typical Bills WATER'!B35</f>
        <v>2</v>
      </c>
      <c r="C35" s="33">
        <f>+'Typical Bills WATER'!C35</f>
        <v>100</v>
      </c>
      <c r="D35" s="34">
        <f t="shared" si="4"/>
        <v>3406.22</v>
      </c>
      <c r="E35" s="34">
        <f t="shared" si="4"/>
        <v>3710.43</v>
      </c>
      <c r="F35" s="33">
        <f>(+E35/D35-1)*100</f>
        <v>8.9310144382922942</v>
      </c>
      <c r="O35" s="34">
        <f>SUMIF('Wastewater Charges'!$C$15:$C$26,'Typical Bills SANITARY'!$B35,'Wastewater Charges'!E$15:E$26)</f>
        <v>36.22</v>
      </c>
      <c r="P35" s="34">
        <f>SUMIF('Wastewater Charges'!$C$15:$C$26,'Typical Bills SANITARY'!$B35,'Wastewater Charges'!F$15:F$26)</f>
        <v>38.43</v>
      </c>
      <c r="R35" s="34">
        <f>ROUND(($C35*('Wastewater Charges'!E$35+'Wastewater Charges'!E$45)),2)</f>
        <v>3370</v>
      </c>
      <c r="S35" s="34">
        <f>ROUND(($C35*('Wastewater Charges'!F$35+'Wastewater Charges'!F$45)),2)</f>
        <v>3672</v>
      </c>
      <c r="U35" s="34"/>
      <c r="V35" s="34"/>
      <c r="W35" s="34"/>
    </row>
    <row r="36" spans="2:23">
      <c r="B36" s="32"/>
      <c r="C36" s="25"/>
      <c r="D36" s="34"/>
      <c r="E36" s="34"/>
      <c r="F36" s="38"/>
      <c r="O36" s="34"/>
      <c r="P36" s="34"/>
      <c r="R36" s="34"/>
      <c r="S36" s="34"/>
    </row>
    <row r="37" spans="2:23">
      <c r="B37" s="32">
        <f>+'Typical Bills WATER'!B37</f>
        <v>4</v>
      </c>
      <c r="C37" s="33">
        <f>+'Typical Bills WATER'!C37</f>
        <v>30</v>
      </c>
      <c r="D37" s="34">
        <f t="shared" ref="D37:E40" si="5">+O37+R37</f>
        <v>1121.93</v>
      </c>
      <c r="E37" s="34">
        <f t="shared" si="5"/>
        <v>1219.3799999999999</v>
      </c>
      <c r="F37" s="33">
        <f>(+E37/D37-1)*100</f>
        <v>8.6859251468451415</v>
      </c>
      <c r="O37" s="34">
        <f>SUMIF('Wastewater Charges'!$C$15:$C$26,'Typical Bills SANITARY'!$B37,'Wastewater Charges'!E$15:E$26)</f>
        <v>110.93</v>
      </c>
      <c r="P37" s="34">
        <f>SUMIF('Wastewater Charges'!$C$15:$C$26,'Typical Bills SANITARY'!$B37,'Wastewater Charges'!F$15:F$26)</f>
        <v>117.78</v>
      </c>
      <c r="R37" s="34">
        <f>ROUND(($C37*('Wastewater Charges'!E$35+'Wastewater Charges'!E$45)),2)</f>
        <v>1011</v>
      </c>
      <c r="S37" s="34">
        <f>ROUND(($C37*('Wastewater Charges'!F$35+'Wastewater Charges'!F$45)),2)</f>
        <v>1101.5999999999999</v>
      </c>
      <c r="U37" s="34"/>
      <c r="V37" s="34"/>
      <c r="W37" s="34"/>
    </row>
    <row r="38" spans="2:23">
      <c r="B38" s="32">
        <f>+'Typical Bills WATER'!B38</f>
        <v>4</v>
      </c>
      <c r="C38" s="33">
        <f>+'Typical Bills WATER'!C38</f>
        <v>170</v>
      </c>
      <c r="D38" s="34">
        <f t="shared" si="5"/>
        <v>5839.93</v>
      </c>
      <c r="E38" s="34">
        <f t="shared" si="5"/>
        <v>6360.1799999999994</v>
      </c>
      <c r="F38" s="33">
        <f>(+E38/D38-1)*100</f>
        <v>8.9084971908909729</v>
      </c>
      <c r="O38" s="34">
        <f>SUMIF('Wastewater Charges'!$C$15:$C$26,'Typical Bills SANITARY'!$B38,'Wastewater Charges'!E$15:E$26)</f>
        <v>110.93</v>
      </c>
      <c r="P38" s="34">
        <f>SUMIF('Wastewater Charges'!$C$15:$C$26,'Typical Bills SANITARY'!$B38,'Wastewater Charges'!F$15:F$26)</f>
        <v>117.78</v>
      </c>
      <c r="R38" s="34">
        <f>ROUND(($C38*('Wastewater Charges'!E$35+'Wastewater Charges'!E$45)),2)</f>
        <v>5729</v>
      </c>
      <c r="S38" s="34">
        <f>ROUND(($C38*('Wastewater Charges'!F$35+'Wastewater Charges'!F$45)),2)</f>
        <v>6242.4</v>
      </c>
      <c r="U38" s="34"/>
      <c r="V38" s="34"/>
      <c r="W38" s="34"/>
    </row>
    <row r="39" spans="2:23">
      <c r="B39" s="32">
        <f>+'Typical Bills WATER'!B39</f>
        <v>4</v>
      </c>
      <c r="C39" s="33">
        <f>+'Typical Bills WATER'!C39</f>
        <v>330</v>
      </c>
      <c r="D39" s="34">
        <f t="shared" si="5"/>
        <v>11231.93</v>
      </c>
      <c r="E39" s="34">
        <f t="shared" si="5"/>
        <v>12235.380000000001</v>
      </c>
      <c r="F39" s="33">
        <f>(+E39/D39-1)*100</f>
        <v>8.9339053929289101</v>
      </c>
      <c r="O39" s="34">
        <f>SUMIF('Wastewater Charges'!$C$15:$C$26,'Typical Bills SANITARY'!$B39,'Wastewater Charges'!E$15:E$26)</f>
        <v>110.93</v>
      </c>
      <c r="P39" s="34">
        <f>SUMIF('Wastewater Charges'!$C$15:$C$26,'Typical Bills SANITARY'!$B39,'Wastewater Charges'!F$15:F$26)</f>
        <v>117.78</v>
      </c>
      <c r="R39" s="34">
        <f>ROUND(($C39*('Wastewater Charges'!E$35+'Wastewater Charges'!E$45)),2)</f>
        <v>11121</v>
      </c>
      <c r="S39" s="34">
        <f>ROUND(($C39*('Wastewater Charges'!F$35+'Wastewater Charges'!F$45)),2)</f>
        <v>12117.6</v>
      </c>
      <c r="U39" s="34"/>
      <c r="V39" s="34"/>
      <c r="W39" s="34"/>
    </row>
    <row r="40" spans="2:23">
      <c r="B40" s="32">
        <f>+'Typical Bills WATER'!B40</f>
        <v>4</v>
      </c>
      <c r="C40" s="33">
        <f>+'Typical Bills WATER'!C40</f>
        <v>500</v>
      </c>
      <c r="D40" s="34">
        <f t="shared" si="5"/>
        <v>16960.93</v>
      </c>
      <c r="E40" s="34">
        <f t="shared" si="5"/>
        <v>18477.78</v>
      </c>
      <c r="F40" s="33">
        <f>(+E40/D40-1)*100</f>
        <v>8.9432006381725557</v>
      </c>
      <c r="O40" s="34">
        <f>SUMIF('Wastewater Charges'!$C$15:$C$26,'Typical Bills SANITARY'!$B40,'Wastewater Charges'!E$15:E$26)</f>
        <v>110.93</v>
      </c>
      <c r="P40" s="34">
        <f>SUMIF('Wastewater Charges'!$C$15:$C$26,'Typical Bills SANITARY'!$B40,'Wastewater Charges'!F$15:F$26)</f>
        <v>117.78</v>
      </c>
      <c r="R40" s="34">
        <f>ROUND(($C40*('Wastewater Charges'!E$35+'Wastewater Charges'!E$45)),2)</f>
        <v>16850</v>
      </c>
      <c r="S40" s="34">
        <f>ROUND(($C40*('Wastewater Charges'!F$35+'Wastewater Charges'!F$45)),2)</f>
        <v>18360</v>
      </c>
      <c r="U40" s="34"/>
      <c r="V40" s="34"/>
      <c r="W40" s="34"/>
    </row>
    <row r="41" spans="2:23">
      <c r="B41" s="32"/>
      <c r="C41" s="25"/>
      <c r="D41" s="34"/>
      <c r="E41" s="34"/>
      <c r="O41" s="34"/>
      <c r="P41" s="34"/>
      <c r="R41" s="34"/>
      <c r="S41" s="34"/>
    </row>
    <row r="42" spans="2:23">
      <c r="B42" s="32">
        <f>+'Typical Bills WATER'!B42</f>
        <v>6</v>
      </c>
      <c r="C42" s="33">
        <f>+'Typical Bills WATER'!C42</f>
        <v>150</v>
      </c>
      <c r="D42" s="34">
        <f t="shared" ref="D42:E45" si="6">+O42+R42</f>
        <v>5273.57</v>
      </c>
      <c r="E42" s="34">
        <f t="shared" si="6"/>
        <v>5740.18</v>
      </c>
      <c r="F42" s="34">
        <f>(+E42/D42-1)*100</f>
        <v>8.8480858317989686</v>
      </c>
      <c r="O42" s="34">
        <f>SUMIF('Wastewater Charges'!$C$15:$C$26,'Typical Bills SANITARY'!$B42,'Wastewater Charges'!E$15:E$26)</f>
        <v>218.57</v>
      </c>
      <c r="P42" s="34">
        <f>SUMIF('Wastewater Charges'!$C$15:$C$26,'Typical Bills SANITARY'!$B42,'Wastewater Charges'!F$15:F$26)</f>
        <v>232.18</v>
      </c>
      <c r="R42" s="34">
        <f>ROUND(($C42*('Wastewater Charges'!E$35+'Wastewater Charges'!E$45)),2)</f>
        <v>5055</v>
      </c>
      <c r="S42" s="34">
        <f>ROUND(($C42*('Wastewater Charges'!F$35+'Wastewater Charges'!F$45)),2)</f>
        <v>5508</v>
      </c>
      <c r="U42" s="34"/>
      <c r="V42" s="34"/>
      <c r="W42" s="34"/>
    </row>
    <row r="43" spans="2:23">
      <c r="B43" s="32">
        <f>+'Typical Bills WATER'!B43</f>
        <v>6</v>
      </c>
      <c r="C43" s="33">
        <f>+'Typical Bills WATER'!C43</f>
        <v>500</v>
      </c>
      <c r="D43" s="34">
        <f t="shared" si="6"/>
        <v>17068.57</v>
      </c>
      <c r="E43" s="34">
        <f t="shared" si="6"/>
        <v>18592.18</v>
      </c>
      <c r="F43" s="34">
        <f>(+E43/D43-1)*100</f>
        <v>8.9264068401746712</v>
      </c>
      <c r="O43" s="34">
        <f>SUMIF('Wastewater Charges'!$C$15:$C$26,'Typical Bills SANITARY'!$B43,'Wastewater Charges'!E$15:E$26)</f>
        <v>218.57</v>
      </c>
      <c r="P43" s="34">
        <f>SUMIF('Wastewater Charges'!$C$15:$C$26,'Typical Bills SANITARY'!$B43,'Wastewater Charges'!F$15:F$26)</f>
        <v>232.18</v>
      </c>
      <c r="R43" s="34">
        <f>ROUND(($C43*('Wastewater Charges'!E$35+'Wastewater Charges'!E$45)),2)</f>
        <v>16850</v>
      </c>
      <c r="S43" s="34">
        <f>ROUND(($C43*('Wastewater Charges'!F$35+'Wastewater Charges'!F$45)),2)</f>
        <v>18360</v>
      </c>
      <c r="U43" s="34"/>
      <c r="V43" s="34"/>
      <c r="W43" s="34"/>
    </row>
    <row r="44" spans="2:23">
      <c r="B44" s="32">
        <f>+'Typical Bills WATER'!B44</f>
        <v>6</v>
      </c>
      <c r="C44" s="33">
        <f>+'Typical Bills WATER'!C44</f>
        <v>1000</v>
      </c>
      <c r="D44" s="34">
        <f t="shared" si="6"/>
        <v>33918.57</v>
      </c>
      <c r="E44" s="34">
        <f t="shared" si="6"/>
        <v>36952.18</v>
      </c>
      <c r="F44" s="34">
        <f>(+E44/D44-1)*100</f>
        <v>8.9438027605527104</v>
      </c>
      <c r="O44" s="34">
        <f>SUMIF('Wastewater Charges'!$C$15:$C$26,'Typical Bills SANITARY'!$B44,'Wastewater Charges'!E$15:E$26)</f>
        <v>218.57</v>
      </c>
      <c r="P44" s="34">
        <f>SUMIF('Wastewater Charges'!$C$15:$C$26,'Typical Bills SANITARY'!$B44,'Wastewater Charges'!F$15:F$26)</f>
        <v>232.18</v>
      </c>
      <c r="R44" s="34">
        <f>ROUND(($C44*('Wastewater Charges'!E$35+'Wastewater Charges'!E$45)),2)</f>
        <v>33700</v>
      </c>
      <c r="S44" s="34">
        <f>ROUND(($C44*('Wastewater Charges'!F$35+'Wastewater Charges'!F$45)),2)</f>
        <v>36720</v>
      </c>
      <c r="U44" s="34"/>
      <c r="V44" s="34"/>
      <c r="W44" s="34"/>
    </row>
    <row r="45" spans="2:23">
      <c r="B45" s="32">
        <f>+'Typical Bills WATER'!B45</f>
        <v>6</v>
      </c>
      <c r="C45" s="33">
        <f>+'Typical Bills WATER'!C45</f>
        <v>1500</v>
      </c>
      <c r="D45" s="34">
        <f t="shared" si="6"/>
        <v>50768.57</v>
      </c>
      <c r="E45" s="34">
        <f t="shared" si="6"/>
        <v>55312.18</v>
      </c>
      <c r="F45" s="34">
        <f>(+E45/D45-1)*100</f>
        <v>8.9496513295529212</v>
      </c>
      <c r="O45" s="34">
        <f>SUMIF('Wastewater Charges'!$C$15:$C$26,'Typical Bills SANITARY'!$B45,'Wastewater Charges'!E$15:E$26)</f>
        <v>218.57</v>
      </c>
      <c r="P45" s="34">
        <f>SUMIF('Wastewater Charges'!$C$15:$C$26,'Typical Bills SANITARY'!$B45,'Wastewater Charges'!F$15:F$26)</f>
        <v>232.18</v>
      </c>
      <c r="R45" s="34">
        <f>ROUND(($C45*('Wastewater Charges'!E$35+'Wastewater Charges'!E$45)),2)</f>
        <v>50550</v>
      </c>
      <c r="S45" s="34">
        <f>ROUND(($C45*('Wastewater Charges'!F$35+'Wastewater Charges'!F$45)),2)</f>
        <v>55080</v>
      </c>
      <c r="U45" s="34"/>
      <c r="V45" s="34"/>
      <c r="W45" s="34"/>
    </row>
    <row r="46" spans="2:23">
      <c r="B46" s="32"/>
      <c r="C46" s="25"/>
      <c r="D46" s="34"/>
      <c r="E46" s="34"/>
      <c r="O46" s="34"/>
      <c r="P46" s="34"/>
      <c r="R46" s="34"/>
      <c r="S46" s="34"/>
    </row>
    <row r="47" spans="2:23">
      <c r="B47" s="32">
        <f>+'Typical Bills WATER'!B47</f>
        <v>8</v>
      </c>
      <c r="C47" s="33">
        <f>+'Typical Bills WATER'!C47</f>
        <v>750</v>
      </c>
      <c r="D47" s="34">
        <f t="shared" ref="D47:E50" si="7">+O47+R47</f>
        <v>25620.77</v>
      </c>
      <c r="E47" s="34">
        <f t="shared" si="7"/>
        <v>27907.45</v>
      </c>
      <c r="F47" s="34">
        <f>(+E47/D47-1)*100</f>
        <v>8.9251025632719028</v>
      </c>
      <c r="O47" s="34">
        <f>SUMIF('Wastewater Charges'!$C$15:$C$26,'Typical Bills SANITARY'!$B47,'Wastewater Charges'!E$15:E$26)</f>
        <v>345.77</v>
      </c>
      <c r="P47" s="34">
        <f>SUMIF('Wastewater Charges'!$C$15:$C$26,'Typical Bills SANITARY'!$B47,'Wastewater Charges'!F$15:F$26)</f>
        <v>367.45</v>
      </c>
      <c r="R47" s="34">
        <f>ROUND(($C47*('Wastewater Charges'!E$35+'Wastewater Charges'!E$45)),2)</f>
        <v>25275</v>
      </c>
      <c r="S47" s="34">
        <f>ROUND(($C47*('Wastewater Charges'!F$35+'Wastewater Charges'!F$45)),2)</f>
        <v>27540</v>
      </c>
      <c r="U47" s="34"/>
      <c r="V47" s="34"/>
      <c r="W47" s="34"/>
    </row>
    <row r="48" spans="2:23">
      <c r="B48" s="32">
        <f>+'Typical Bills WATER'!B48</f>
        <v>8</v>
      </c>
      <c r="C48" s="33">
        <f>+'Typical Bills WATER'!C48</f>
        <v>1500</v>
      </c>
      <c r="D48" s="34">
        <f t="shared" si="7"/>
        <v>50895.77</v>
      </c>
      <c r="E48" s="34">
        <f t="shared" si="7"/>
        <v>55447.45</v>
      </c>
      <c r="F48" s="34">
        <f>(+E48/D48-1)*100</f>
        <v>8.9431400684182538</v>
      </c>
      <c r="O48" s="34">
        <f>SUMIF('Wastewater Charges'!$C$15:$C$26,'Typical Bills SANITARY'!$B48,'Wastewater Charges'!E$15:E$26)</f>
        <v>345.77</v>
      </c>
      <c r="P48" s="34">
        <f>SUMIF('Wastewater Charges'!$C$15:$C$26,'Typical Bills SANITARY'!$B48,'Wastewater Charges'!F$15:F$26)</f>
        <v>367.45</v>
      </c>
      <c r="R48" s="34">
        <f>ROUND(($C48*('Wastewater Charges'!E$35+'Wastewater Charges'!E$45)),2)</f>
        <v>50550</v>
      </c>
      <c r="S48" s="34">
        <f>ROUND(($C48*('Wastewater Charges'!F$35+'Wastewater Charges'!F$45)),2)</f>
        <v>55080</v>
      </c>
      <c r="U48" s="34"/>
      <c r="V48" s="34"/>
      <c r="W48" s="34"/>
    </row>
    <row r="49" spans="2:23">
      <c r="B49" s="32">
        <f>+'Typical Bills WATER'!B49</f>
        <v>8</v>
      </c>
      <c r="C49" s="33">
        <f>+'Typical Bills WATER'!C49</f>
        <v>2000</v>
      </c>
      <c r="D49" s="34">
        <f t="shared" si="7"/>
        <v>67745.77</v>
      </c>
      <c r="E49" s="34">
        <f t="shared" si="7"/>
        <v>73807.45</v>
      </c>
      <c r="F49" s="34">
        <f>(+E49/D49-1)*100</f>
        <v>8.9476878039765229</v>
      </c>
      <c r="O49" s="34">
        <f>SUMIF('Wastewater Charges'!$C$15:$C$26,'Typical Bills SANITARY'!$B49,'Wastewater Charges'!E$15:E$26)</f>
        <v>345.77</v>
      </c>
      <c r="P49" s="34">
        <f>SUMIF('Wastewater Charges'!$C$15:$C$26,'Typical Bills SANITARY'!$B49,'Wastewater Charges'!F$15:F$26)</f>
        <v>367.45</v>
      </c>
      <c r="R49" s="34">
        <f>ROUND(($C49*('Wastewater Charges'!E$35+'Wastewater Charges'!E$45)),2)</f>
        <v>67400</v>
      </c>
      <c r="S49" s="34">
        <f>ROUND(($C49*('Wastewater Charges'!F$35+'Wastewater Charges'!F$45)),2)</f>
        <v>73440</v>
      </c>
      <c r="U49" s="34"/>
      <c r="V49" s="34"/>
      <c r="W49" s="34"/>
    </row>
    <row r="50" spans="2:23">
      <c r="B50" s="32">
        <f>+'Typical Bills WATER'!B50</f>
        <v>8</v>
      </c>
      <c r="C50" s="33">
        <f>+'Typical Bills WATER'!C50</f>
        <v>3000</v>
      </c>
      <c r="D50" s="34">
        <f t="shared" si="7"/>
        <v>101445.77</v>
      </c>
      <c r="E50" s="34">
        <f t="shared" si="7"/>
        <v>110527.45</v>
      </c>
      <c r="F50" s="34">
        <f>(+E50/D50-1)*100</f>
        <v>8.9522510401369928</v>
      </c>
      <c r="O50" s="34">
        <f>SUMIF('Wastewater Charges'!$C$15:$C$26,'Typical Bills SANITARY'!$B50,'Wastewater Charges'!E$15:E$26)</f>
        <v>345.77</v>
      </c>
      <c r="P50" s="34">
        <f>SUMIF('Wastewater Charges'!$C$15:$C$26,'Typical Bills SANITARY'!$B50,'Wastewater Charges'!F$15:F$26)</f>
        <v>367.45</v>
      </c>
      <c r="R50" s="34">
        <f>ROUND(($C50*('Wastewater Charges'!E$35+'Wastewater Charges'!E$45)),2)</f>
        <v>101100</v>
      </c>
      <c r="S50" s="34">
        <f>ROUND(($C50*('Wastewater Charges'!F$35+'Wastewater Charges'!F$45)),2)</f>
        <v>110160</v>
      </c>
      <c r="U50" s="34"/>
      <c r="V50" s="34"/>
      <c r="W50" s="34"/>
    </row>
    <row r="51" spans="2:23">
      <c r="B51" s="32"/>
      <c r="C51" s="25"/>
      <c r="D51" s="34"/>
      <c r="E51" s="34"/>
      <c r="O51" s="34"/>
      <c r="P51" s="34"/>
      <c r="R51" s="34"/>
      <c r="S51" s="34"/>
    </row>
    <row r="52" spans="2:23">
      <c r="B52" s="32">
        <f>+'Typical Bills WATER'!B52</f>
        <v>10</v>
      </c>
      <c r="C52" s="33">
        <f>+'Typical Bills WATER'!C52</f>
        <v>600</v>
      </c>
      <c r="D52" s="34">
        <f t="shared" ref="D52:E55" si="8">+O52+R52</f>
        <v>20719.09</v>
      </c>
      <c r="E52" s="34">
        <f t="shared" si="8"/>
        <v>22562.31</v>
      </c>
      <c r="F52" s="34">
        <f>(+E52/D52-1)*100</f>
        <v>8.8962401340985551</v>
      </c>
      <c r="O52" s="34">
        <f>SUMIF('Wastewater Charges'!$C$15:$C$26,'Typical Bills SANITARY'!$B52,'Wastewater Charges'!E$15:E$26)</f>
        <v>499.09</v>
      </c>
      <c r="P52" s="34">
        <f>SUMIF('Wastewater Charges'!$C$15:$C$26,'Typical Bills SANITARY'!$B52,'Wastewater Charges'!F$15:F$26)</f>
        <v>530.30999999999995</v>
      </c>
      <c r="R52" s="34">
        <f>ROUND(($C52*('Wastewater Charges'!E$35+'Wastewater Charges'!E$45)),2)</f>
        <v>20220</v>
      </c>
      <c r="S52" s="34">
        <f>ROUND(($C52*('Wastewater Charges'!F$35+'Wastewater Charges'!F$45)),2)</f>
        <v>22032</v>
      </c>
      <c r="U52" s="34"/>
      <c r="V52" s="34"/>
      <c r="W52" s="34"/>
    </row>
    <row r="53" spans="2:23">
      <c r="B53" s="32">
        <f>+'Typical Bills WATER'!B53</f>
        <v>10</v>
      </c>
      <c r="C53" s="33">
        <f>+'Typical Bills WATER'!C53</f>
        <v>1700</v>
      </c>
      <c r="D53" s="34">
        <f t="shared" si="8"/>
        <v>57789.09</v>
      </c>
      <c r="E53" s="34">
        <f t="shared" si="8"/>
        <v>62954.31</v>
      </c>
      <c r="F53" s="34">
        <f>(+E53/D53-1)*100</f>
        <v>8.938053878335861</v>
      </c>
      <c r="O53" s="34">
        <f>SUMIF('Wastewater Charges'!$C$15:$C$26,'Typical Bills SANITARY'!$B53,'Wastewater Charges'!E$15:E$26)</f>
        <v>499.09</v>
      </c>
      <c r="P53" s="34">
        <f>SUMIF('Wastewater Charges'!$C$15:$C$26,'Typical Bills SANITARY'!$B53,'Wastewater Charges'!F$15:F$26)</f>
        <v>530.30999999999995</v>
      </c>
      <c r="R53" s="34">
        <f>ROUND(($C53*('Wastewater Charges'!E$35+'Wastewater Charges'!E$45)),2)</f>
        <v>57290</v>
      </c>
      <c r="S53" s="34">
        <f>ROUND(($C53*('Wastewater Charges'!F$35+'Wastewater Charges'!F$45)),2)</f>
        <v>62424</v>
      </c>
      <c r="U53" s="34"/>
      <c r="V53" s="34"/>
      <c r="W53" s="34"/>
    </row>
    <row r="54" spans="2:23">
      <c r="B54" s="32">
        <f>+'Typical Bills WATER'!B54</f>
        <v>10</v>
      </c>
      <c r="C54" s="33">
        <f>+'Typical Bills WATER'!C54</f>
        <v>3300</v>
      </c>
      <c r="D54" s="34">
        <f t="shared" si="8"/>
        <v>111709.09</v>
      </c>
      <c r="E54" s="34">
        <f t="shared" si="8"/>
        <v>121706.31</v>
      </c>
      <c r="F54" s="34">
        <f>(+E54/D54-1)*100</f>
        <v>8.9493343827256933</v>
      </c>
      <c r="O54" s="34">
        <f>SUMIF('Wastewater Charges'!$C$15:$C$26,'Typical Bills SANITARY'!$B54,'Wastewater Charges'!E$15:E$26)</f>
        <v>499.09</v>
      </c>
      <c r="P54" s="34">
        <f>SUMIF('Wastewater Charges'!$C$15:$C$26,'Typical Bills SANITARY'!$B54,'Wastewater Charges'!F$15:F$26)</f>
        <v>530.30999999999995</v>
      </c>
      <c r="R54" s="34">
        <f>ROUND(($C54*('Wastewater Charges'!E$35+'Wastewater Charges'!E$45)),2)</f>
        <v>111210</v>
      </c>
      <c r="S54" s="34">
        <f>ROUND(($C54*('Wastewater Charges'!F$35+'Wastewater Charges'!F$45)),2)</f>
        <v>121176</v>
      </c>
      <c r="U54" s="34"/>
      <c r="V54" s="34"/>
      <c r="W54" s="34"/>
    </row>
    <row r="55" spans="2:23">
      <c r="B55" s="32">
        <f>+'Typical Bills WATER'!B55</f>
        <v>10</v>
      </c>
      <c r="C55" s="33">
        <f>+'Typical Bills WATER'!C55</f>
        <v>6000</v>
      </c>
      <c r="D55" s="34">
        <f t="shared" si="8"/>
        <v>202699.09</v>
      </c>
      <c r="E55" s="34">
        <f t="shared" si="8"/>
        <v>220850.31</v>
      </c>
      <c r="F55" s="34">
        <f>(+E55/D55-1)*100</f>
        <v>8.9547614643953324</v>
      </c>
      <c r="O55" s="34">
        <f>SUMIF('Wastewater Charges'!$C$15:$C$26,'Typical Bills SANITARY'!$B55,'Wastewater Charges'!E$15:E$26)</f>
        <v>499.09</v>
      </c>
      <c r="P55" s="34">
        <f>SUMIF('Wastewater Charges'!$C$15:$C$26,'Typical Bills SANITARY'!$B55,'Wastewater Charges'!F$15:F$26)</f>
        <v>530.30999999999995</v>
      </c>
      <c r="R55" s="34">
        <f>ROUND(($C55*('Wastewater Charges'!E$35+'Wastewater Charges'!E$45)),2)</f>
        <v>202200</v>
      </c>
      <c r="S55" s="34">
        <f>ROUND(($C55*('Wastewater Charges'!F$35+'Wastewater Charges'!F$45)),2)</f>
        <v>220320</v>
      </c>
      <c r="U55" s="34"/>
      <c r="V55" s="34"/>
      <c r="W55" s="34"/>
    </row>
    <row r="56" spans="2:23">
      <c r="B56" s="25"/>
      <c r="C56" s="25"/>
      <c r="D56" s="25"/>
      <c r="E56" s="25"/>
      <c r="F56" s="25"/>
    </row>
    <row r="57" spans="2:23">
      <c r="B57" s="25" t="s">
        <v>17</v>
      </c>
      <c r="C57" s="25"/>
      <c r="D57" s="25"/>
      <c r="E57" s="25"/>
      <c r="F57" s="25"/>
    </row>
  </sheetData>
  <mergeCells count="4">
    <mergeCell ref="E9:F9"/>
    <mergeCell ref="B4:F4"/>
    <mergeCell ref="B5:F5"/>
    <mergeCell ref="B6:F6"/>
  </mergeCells>
  <hyperlinks>
    <hyperlink ref="A1" location="TOC!A1" display="TOC!A1" xr:uid="{00000000-0004-0000-0600-000000000000}"/>
  </hyperlink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F26"/>
  <sheetViews>
    <sheetView workbookViewId="0"/>
  </sheetViews>
  <sheetFormatPr defaultRowHeight="14"/>
  <cols>
    <col min="2" max="2" width="14.54296875" customWidth="1"/>
    <col min="3" max="3" width="13.1796875" customWidth="1"/>
    <col min="4" max="4" width="14.54296875" customWidth="1"/>
    <col min="5" max="5" width="14" customWidth="1"/>
    <col min="6" max="6" width="15.453125" customWidth="1"/>
  </cols>
  <sheetData>
    <row r="1" spans="1:6" ht="14.5" thickBot="1">
      <c r="A1" s="134" t="s">
        <v>127</v>
      </c>
    </row>
    <row r="2" spans="1:6" ht="18">
      <c r="B2" s="24"/>
      <c r="C2" s="24"/>
      <c r="D2" s="24"/>
      <c r="E2" s="24"/>
      <c r="F2" s="24"/>
    </row>
    <row r="3" spans="1:6" ht="18">
      <c r="B3" s="24"/>
      <c r="C3" s="24"/>
      <c r="D3" s="24"/>
      <c r="E3" s="24"/>
      <c r="F3" s="24"/>
    </row>
    <row r="4" spans="1:6" ht="18">
      <c r="B4" s="66" t="s">
        <v>75</v>
      </c>
      <c r="C4" s="66"/>
      <c r="D4" s="66"/>
      <c r="E4" s="66"/>
      <c r="F4" s="66"/>
    </row>
    <row r="5" spans="1:6" ht="18">
      <c r="B5" s="66" t="s">
        <v>126</v>
      </c>
      <c r="C5" s="66"/>
      <c r="D5" s="66"/>
      <c r="E5" s="66"/>
      <c r="F5" s="66"/>
    </row>
    <row r="6" spans="1:6" ht="18">
      <c r="B6" s="187"/>
      <c r="C6" s="187"/>
      <c r="D6" s="187"/>
      <c r="E6" s="187"/>
      <c r="F6" s="187"/>
    </row>
    <row r="7" spans="1:6">
      <c r="B7" s="26"/>
      <c r="C7" s="26"/>
      <c r="D7" s="26"/>
      <c r="E7" s="27"/>
      <c r="F7" s="26"/>
    </row>
    <row r="8" spans="1:6">
      <c r="B8" s="39">
        <v>-1</v>
      </c>
      <c r="C8" s="39">
        <v>-2</v>
      </c>
      <c r="D8" s="39">
        <v>-3</v>
      </c>
      <c r="E8" s="39">
        <v>-4</v>
      </c>
      <c r="F8" s="39">
        <v>-5</v>
      </c>
    </row>
    <row r="9" spans="1:6" ht="15.5">
      <c r="B9" s="28"/>
      <c r="C9" s="28"/>
      <c r="D9" s="48" t="str">
        <f>Inputs!$C$4</f>
        <v>FY 2022</v>
      </c>
      <c r="E9" s="186" t="str">
        <f>Inputs!$D$4</f>
        <v>FY 2023</v>
      </c>
      <c r="F9" s="186"/>
    </row>
    <row r="10" spans="1:6">
      <c r="B10" s="30" t="s">
        <v>53</v>
      </c>
      <c r="C10" s="30" t="s">
        <v>1</v>
      </c>
      <c r="D10" s="30" t="s">
        <v>30</v>
      </c>
      <c r="E10" s="30" t="s">
        <v>125</v>
      </c>
      <c r="F10" s="30" t="s">
        <v>124</v>
      </c>
    </row>
    <row r="11" spans="1:6" ht="15.5">
      <c r="B11" s="31" t="s">
        <v>54</v>
      </c>
      <c r="C11" s="31" t="s">
        <v>31</v>
      </c>
      <c r="D11" s="31" t="s">
        <v>32</v>
      </c>
      <c r="E11" s="31" t="s">
        <v>32</v>
      </c>
      <c r="F11" s="31" t="s">
        <v>33</v>
      </c>
    </row>
    <row r="12" spans="1:6">
      <c r="B12" s="30" t="s">
        <v>4</v>
      </c>
      <c r="C12" s="30" t="s">
        <v>34</v>
      </c>
      <c r="D12" s="30" t="s">
        <v>5</v>
      </c>
      <c r="E12" s="30" t="s">
        <v>5</v>
      </c>
      <c r="F12" s="30" t="s">
        <v>35</v>
      </c>
    </row>
    <row r="13" spans="1:6">
      <c r="B13" s="25"/>
      <c r="C13" s="25"/>
      <c r="D13" s="25"/>
      <c r="E13" s="25"/>
      <c r="F13" s="25"/>
    </row>
    <row r="14" spans="1:6">
      <c r="B14" s="32" t="str">
        <f>+'Typical Bills WATER'!B14</f>
        <v>5/8</v>
      </c>
      <c r="C14" s="33">
        <f>+'Typical Bills WATER'!C14</f>
        <v>0</v>
      </c>
      <c r="D14" s="34">
        <f>+'Wastewater Charges'!N$15+'Wastewater Charges'!N$24</f>
        <v>16.86</v>
      </c>
      <c r="E14" s="34">
        <f>+'Wastewater Charges'!O$15+'Wastewater Charges'!O$24</f>
        <v>18.16</v>
      </c>
      <c r="F14" s="33">
        <f t="shared" ref="F14:F24" si="0">(+E14/D14-1)*100</f>
        <v>7.710557532621598</v>
      </c>
    </row>
    <row r="15" spans="1:6">
      <c r="B15" s="40" t="str">
        <f>+'Typical Bills WATER'!B15</f>
        <v>5/8</v>
      </c>
      <c r="C15" s="35">
        <f>+'Typical Bills WATER'!C15</f>
        <v>0.2</v>
      </c>
      <c r="D15" s="36">
        <f>+'Wastewater Charges'!N$15+'Wastewater Charges'!N$24</f>
        <v>16.86</v>
      </c>
      <c r="E15" s="36">
        <f>+'Wastewater Charges'!O$15+'Wastewater Charges'!O$24</f>
        <v>18.16</v>
      </c>
      <c r="F15" s="35">
        <f>(+E15/D15-1)*100</f>
        <v>7.710557532621598</v>
      </c>
    </row>
    <row r="16" spans="1:6">
      <c r="B16" s="32" t="str">
        <f>+'Typical Bills WATER'!B16</f>
        <v>5/8</v>
      </c>
      <c r="C16" s="33">
        <f>+'Typical Bills WATER'!C16</f>
        <v>0.3</v>
      </c>
      <c r="D16" s="34">
        <f>+'Wastewater Charges'!N$15+'Wastewater Charges'!N$24</f>
        <v>16.86</v>
      </c>
      <c r="E16" s="34">
        <f>+'Wastewater Charges'!O$15+'Wastewater Charges'!O$24</f>
        <v>18.16</v>
      </c>
      <c r="F16" s="33">
        <f t="shared" si="0"/>
        <v>7.710557532621598</v>
      </c>
    </row>
    <row r="17" spans="2:6">
      <c r="B17" s="32" t="str">
        <f>+'Typical Bills WATER'!B17</f>
        <v>5/8</v>
      </c>
      <c r="C17" s="33">
        <f>+'Typical Bills WATER'!C17</f>
        <v>0.4</v>
      </c>
      <c r="D17" s="34">
        <f>+'Wastewater Charges'!N$15+'Wastewater Charges'!N$24</f>
        <v>16.86</v>
      </c>
      <c r="E17" s="34">
        <f>+'Wastewater Charges'!O$15+'Wastewater Charges'!O$24</f>
        <v>18.16</v>
      </c>
      <c r="F17" s="33">
        <f>(+E17/D17-1)*100</f>
        <v>7.710557532621598</v>
      </c>
    </row>
    <row r="18" spans="2:6">
      <c r="B18" s="40" t="str">
        <f>+'Typical Bills WATER'!B18</f>
        <v>5/8</v>
      </c>
      <c r="C18" s="35">
        <f>+'Typical Bills WATER'!C18</f>
        <v>0.5</v>
      </c>
      <c r="D18" s="36">
        <f>+'Wastewater Charges'!N$15+'Wastewater Charges'!N$24</f>
        <v>16.86</v>
      </c>
      <c r="E18" s="36">
        <f>+'Wastewater Charges'!O$15+'Wastewater Charges'!O$24</f>
        <v>18.16</v>
      </c>
      <c r="F18" s="35">
        <f t="shared" si="0"/>
        <v>7.710557532621598</v>
      </c>
    </row>
    <row r="19" spans="2:6">
      <c r="B19" s="32" t="str">
        <f>+'Typical Bills WATER'!B19</f>
        <v>5/8</v>
      </c>
      <c r="C19" s="33">
        <f>+'Typical Bills WATER'!C19</f>
        <v>0.6</v>
      </c>
      <c r="D19" s="34">
        <f>+'Wastewater Charges'!N$15+'Wastewater Charges'!N$24</f>
        <v>16.86</v>
      </c>
      <c r="E19" s="34">
        <f>+'Wastewater Charges'!O$15+'Wastewater Charges'!O$24</f>
        <v>18.16</v>
      </c>
      <c r="F19" s="33">
        <f t="shared" si="0"/>
        <v>7.710557532621598</v>
      </c>
    </row>
    <row r="20" spans="2:6">
      <c r="B20" s="32" t="str">
        <f>+'Typical Bills WATER'!B20</f>
        <v>5/8</v>
      </c>
      <c r="C20" s="33">
        <f>+'Typical Bills WATER'!C20</f>
        <v>0.7</v>
      </c>
      <c r="D20" s="34">
        <f>+'Wastewater Charges'!N$15+'Wastewater Charges'!N$24</f>
        <v>16.86</v>
      </c>
      <c r="E20" s="34">
        <f>+'Wastewater Charges'!O$15+'Wastewater Charges'!O$24</f>
        <v>18.16</v>
      </c>
      <c r="F20" s="33">
        <f t="shared" si="0"/>
        <v>7.710557532621598</v>
      </c>
    </row>
    <row r="21" spans="2:6">
      <c r="B21" s="32" t="str">
        <f>+'Typical Bills WATER'!B21</f>
        <v>5/8</v>
      </c>
      <c r="C21" s="33">
        <f>+'Typical Bills WATER'!C21</f>
        <v>0.8</v>
      </c>
      <c r="D21" s="34">
        <f>+'Wastewater Charges'!N$15+'Wastewater Charges'!N$24</f>
        <v>16.86</v>
      </c>
      <c r="E21" s="34">
        <f>+'Wastewater Charges'!O$15+'Wastewater Charges'!O$24</f>
        <v>18.16</v>
      </c>
      <c r="F21" s="33">
        <f t="shared" si="0"/>
        <v>7.710557532621598</v>
      </c>
    </row>
    <row r="22" spans="2:6">
      <c r="B22" s="32" t="str">
        <f>+'Typical Bills WATER'!B22</f>
        <v>5/8</v>
      </c>
      <c r="C22" s="33">
        <f>+'Typical Bills WATER'!C22</f>
        <v>1.7</v>
      </c>
      <c r="D22" s="34">
        <f>+'Wastewater Charges'!N$15+'Wastewater Charges'!N$24</f>
        <v>16.86</v>
      </c>
      <c r="E22" s="34">
        <f>+'Wastewater Charges'!O$15+'Wastewater Charges'!O$24</f>
        <v>18.16</v>
      </c>
      <c r="F22" s="33">
        <f t="shared" si="0"/>
        <v>7.710557532621598</v>
      </c>
    </row>
    <row r="23" spans="2:6">
      <c r="B23" s="32" t="str">
        <f>+'Typical Bills WATER'!B23</f>
        <v>5/8</v>
      </c>
      <c r="C23" s="33">
        <f>+'Typical Bills WATER'!C23</f>
        <v>2.7</v>
      </c>
      <c r="D23" s="34">
        <f>+'Wastewater Charges'!N$15+'Wastewater Charges'!N$24</f>
        <v>16.86</v>
      </c>
      <c r="E23" s="34">
        <f>+'Wastewater Charges'!O$15+'Wastewater Charges'!O$24</f>
        <v>18.16</v>
      </c>
      <c r="F23" s="33">
        <f t="shared" si="0"/>
        <v>7.710557532621598</v>
      </c>
    </row>
    <row r="24" spans="2:6">
      <c r="B24" s="32" t="str">
        <f>+'Typical Bills WATER'!B24</f>
        <v>5/8</v>
      </c>
      <c r="C24" s="33">
        <f>+'Typical Bills WATER'!C24</f>
        <v>3.3</v>
      </c>
      <c r="D24" s="34">
        <f>+'Wastewater Charges'!N$15+'Wastewater Charges'!N$24</f>
        <v>16.86</v>
      </c>
      <c r="E24" s="34">
        <f>+'Wastewater Charges'!O$15+'Wastewater Charges'!O$24</f>
        <v>18.16</v>
      </c>
      <c r="F24" s="33">
        <f t="shared" si="0"/>
        <v>7.710557532621598</v>
      </c>
    </row>
    <row r="25" spans="2:6">
      <c r="B25" s="32"/>
      <c r="C25" s="25"/>
      <c r="D25" s="34"/>
      <c r="E25" s="34"/>
      <c r="F25" s="25"/>
    </row>
    <row r="26" spans="2:6">
      <c r="B26" s="25" t="s">
        <v>17</v>
      </c>
      <c r="C26" s="25"/>
      <c r="D26" s="25"/>
      <c r="E26" s="25"/>
      <c r="F26" s="25"/>
    </row>
  </sheetData>
  <mergeCells count="2">
    <mergeCell ref="E9:F9"/>
    <mergeCell ref="B6:F6"/>
  </mergeCells>
  <hyperlinks>
    <hyperlink ref="A1" location="TOC!A1" display="TOC!A1" xr:uid="{00000000-0004-0000-0700-000000000000}"/>
  </hyperlink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H59"/>
  <sheetViews>
    <sheetView zoomScaleNormal="100" workbookViewId="0"/>
  </sheetViews>
  <sheetFormatPr defaultRowHeight="14"/>
  <cols>
    <col min="2" max="2" width="10.54296875" customWidth="1"/>
    <col min="3" max="3" width="11.26953125" customWidth="1"/>
    <col min="4" max="4" width="10.7265625" customWidth="1"/>
    <col min="5" max="5" width="10.54296875" customWidth="1"/>
    <col min="6" max="7" width="11.1796875" customWidth="1"/>
    <col min="8" max="8" width="12" customWidth="1"/>
  </cols>
  <sheetData>
    <row r="1" spans="1:8" ht="14.5" thickBot="1">
      <c r="A1" s="134" t="s">
        <v>127</v>
      </c>
    </row>
    <row r="2" spans="1:8" ht="18">
      <c r="B2" s="24"/>
      <c r="C2" s="24"/>
      <c r="D2" s="24"/>
      <c r="E2" s="24"/>
      <c r="F2" s="24"/>
      <c r="G2" s="24"/>
      <c r="H2" s="24"/>
    </row>
    <row r="3" spans="1:8" ht="18">
      <c r="B3" s="24"/>
      <c r="C3" s="24"/>
      <c r="D3" s="24"/>
      <c r="E3" s="24"/>
      <c r="F3" s="24"/>
      <c r="G3" s="24"/>
      <c r="H3" s="24"/>
    </row>
    <row r="4" spans="1:8" ht="18">
      <c r="B4" s="24" t="s">
        <v>76</v>
      </c>
      <c r="C4" s="24"/>
      <c r="D4" s="24"/>
      <c r="E4" s="24"/>
      <c r="F4" s="24"/>
      <c r="G4" s="24"/>
      <c r="H4" s="24"/>
    </row>
    <row r="5" spans="1:8" ht="18">
      <c r="B5" s="187" t="s">
        <v>126</v>
      </c>
      <c r="C5" s="187"/>
      <c r="D5" s="187"/>
      <c r="E5" s="187"/>
      <c r="F5" s="187"/>
      <c r="G5" s="187"/>
      <c r="H5" s="187"/>
    </row>
    <row r="6" spans="1:8" ht="18">
      <c r="B6" s="187"/>
      <c r="C6" s="187"/>
      <c r="D6" s="187"/>
      <c r="E6" s="187"/>
      <c r="F6" s="187"/>
      <c r="G6" s="187"/>
      <c r="H6" s="187"/>
    </row>
    <row r="7" spans="1:8">
      <c r="B7" s="26"/>
      <c r="C7" s="26"/>
      <c r="D7" s="26"/>
      <c r="E7" s="26"/>
      <c r="F7" s="26"/>
      <c r="G7" s="27"/>
      <c r="H7" s="26"/>
    </row>
    <row r="8" spans="1:8">
      <c r="B8" s="39">
        <v>-1</v>
      </c>
      <c r="C8" s="39">
        <v>-2</v>
      </c>
      <c r="D8" s="39">
        <v>-3</v>
      </c>
      <c r="E8" s="39">
        <v>-4</v>
      </c>
      <c r="F8" s="39">
        <v>-5</v>
      </c>
      <c r="G8" s="39">
        <v>-6</v>
      </c>
      <c r="H8" s="39">
        <v>-7</v>
      </c>
    </row>
    <row r="9" spans="1:8" ht="15.5">
      <c r="B9" s="28"/>
      <c r="C9" s="28"/>
      <c r="D9" s="28"/>
      <c r="E9" s="28"/>
      <c r="F9" s="29"/>
      <c r="G9" s="186" t="str">
        <f>Inputs!$D$4</f>
        <v>FY 2023</v>
      </c>
      <c r="H9" s="186"/>
    </row>
    <row r="10" spans="1:8">
      <c r="B10" s="30" t="s">
        <v>53</v>
      </c>
      <c r="C10" s="30" t="s">
        <v>1</v>
      </c>
      <c r="D10" s="30" t="s">
        <v>41</v>
      </c>
      <c r="E10" s="30" t="s">
        <v>44</v>
      </c>
      <c r="F10" s="30" t="s">
        <v>30</v>
      </c>
      <c r="G10" s="30" t="s">
        <v>110</v>
      </c>
      <c r="H10" s="30" t="s">
        <v>124</v>
      </c>
    </row>
    <row r="11" spans="1:8" ht="15.5">
      <c r="B11" s="31" t="s">
        <v>54</v>
      </c>
      <c r="C11" s="31" t="s">
        <v>31</v>
      </c>
      <c r="D11" s="31" t="s">
        <v>42</v>
      </c>
      <c r="E11" s="31" t="s">
        <v>42</v>
      </c>
      <c r="F11" s="31" t="s">
        <v>32</v>
      </c>
      <c r="G11" s="31" t="s">
        <v>32</v>
      </c>
      <c r="H11" s="31" t="s">
        <v>33</v>
      </c>
    </row>
    <row r="12" spans="1:8">
      <c r="B12" s="30" t="s">
        <v>4</v>
      </c>
      <c r="C12" s="30" t="s">
        <v>34</v>
      </c>
      <c r="D12" s="30" t="s">
        <v>43</v>
      </c>
      <c r="E12" s="30" t="s">
        <v>43</v>
      </c>
      <c r="F12" s="30" t="s">
        <v>5</v>
      </c>
      <c r="G12" s="30" t="s">
        <v>5</v>
      </c>
      <c r="H12" s="30" t="s">
        <v>35</v>
      </c>
    </row>
    <row r="13" spans="1:8">
      <c r="B13" s="25"/>
      <c r="C13" s="25"/>
      <c r="D13" s="25"/>
      <c r="E13" s="25"/>
      <c r="F13" s="25"/>
      <c r="G13" s="25"/>
      <c r="H13" s="25"/>
    </row>
    <row r="14" spans="1:8">
      <c r="A14" t="s">
        <v>45</v>
      </c>
      <c r="B14" s="32" t="str">
        <f>+'Typical Bills WATER'!B14</f>
        <v>5/8</v>
      </c>
      <c r="C14" s="33">
        <f>+'Typical Bills WATER'!C14</f>
        <v>0</v>
      </c>
      <c r="D14" s="41">
        <f>ROUND(+E14*0.85,0)</f>
        <v>1794</v>
      </c>
      <c r="E14" s="41">
        <v>2110</v>
      </c>
      <c r="F14" s="34">
        <f>MAX(ROUNDUP($D14/500,0)*'Wastewater Charges'!V$18+ROUNDUP($E14/500,0)*'Wastewater Charges'!V$17,'Wastewater Charges'!V$15)+'Wastewater Charges'!V$27</f>
        <v>26.448</v>
      </c>
      <c r="G14" s="34">
        <f>MAX(ROUNDUP($D14/500,0)*'Wastewater Charges'!W$18+ROUNDUP($E14/500,0)*'Wastewater Charges'!W$17,'Wastewater Charges'!W$15)+'Wastewater Charges'!W$27</f>
        <v>28.474</v>
      </c>
      <c r="H14" s="33">
        <f t="shared" ref="H14:H24" si="0">(+G14/F14-1)*100</f>
        <v>7.6603145795523186</v>
      </c>
    </row>
    <row r="15" spans="1:8">
      <c r="B15" s="32" t="str">
        <f>+'Typical Bills WATER'!B15</f>
        <v>5/8</v>
      </c>
      <c r="C15" s="33">
        <f>+'Typical Bills WATER'!C15</f>
        <v>0.2</v>
      </c>
      <c r="D15" s="41">
        <f>ROUND(+E15*0.85,0)</f>
        <v>1794</v>
      </c>
      <c r="E15" s="41">
        <v>2110</v>
      </c>
      <c r="F15" s="34">
        <f>MAX(ROUNDUP($D15/500,0)*'Wastewater Charges'!V$18+ROUNDUP($E15/500,0)*'Wastewater Charges'!V$17,'Wastewater Charges'!V$15)+'Wastewater Charges'!V$27</f>
        <v>26.448</v>
      </c>
      <c r="G15" s="34">
        <f>MAX(ROUNDUP($D15/500,0)*'Wastewater Charges'!W$18+ROUNDUP($E15/500,0)*'Wastewater Charges'!W$17,'Wastewater Charges'!W$15)+'Wastewater Charges'!W$27</f>
        <v>28.474</v>
      </c>
      <c r="H15" s="33">
        <f>(+G15/F15-1)*100</f>
        <v>7.6603145795523186</v>
      </c>
    </row>
    <row r="16" spans="1:8">
      <c r="B16" s="32" t="str">
        <f>+'Typical Bills WATER'!B16</f>
        <v>5/8</v>
      </c>
      <c r="C16" s="33">
        <f>+'Typical Bills WATER'!C16</f>
        <v>0.3</v>
      </c>
      <c r="D16" s="41">
        <f>ROUND(+E16*0.85,0)</f>
        <v>1794</v>
      </c>
      <c r="E16" s="41">
        <v>2110</v>
      </c>
      <c r="F16" s="34">
        <f>MAX(ROUNDUP($D16/500,0)*'Wastewater Charges'!V$18+ROUNDUP($E16/500,0)*'Wastewater Charges'!V$17,'Wastewater Charges'!V$15)+'Wastewater Charges'!V$27</f>
        <v>26.448</v>
      </c>
      <c r="G16" s="34">
        <f>MAX(ROUNDUP($D16/500,0)*'Wastewater Charges'!W$18+ROUNDUP($E16/500,0)*'Wastewater Charges'!W$17,'Wastewater Charges'!W$15)+'Wastewater Charges'!W$27</f>
        <v>28.474</v>
      </c>
      <c r="H16" s="33">
        <f t="shared" si="0"/>
        <v>7.6603145795523186</v>
      </c>
    </row>
    <row r="17" spans="1:8">
      <c r="B17" s="32" t="str">
        <f>+'Typical Bills WATER'!B17</f>
        <v>5/8</v>
      </c>
      <c r="C17" s="33">
        <f>+'Typical Bills WATER'!C17</f>
        <v>0.4</v>
      </c>
      <c r="D17" s="41">
        <f>ROUND(+E17*0.85,0)</f>
        <v>1794</v>
      </c>
      <c r="E17" s="41">
        <v>2110</v>
      </c>
      <c r="F17" s="34">
        <f>MAX(ROUNDUP($D17/500,0)*'Wastewater Charges'!V$18+ROUNDUP($E17/500,0)*'Wastewater Charges'!V$17,'Wastewater Charges'!V$15)+'Wastewater Charges'!V$27</f>
        <v>26.448</v>
      </c>
      <c r="G17" s="34">
        <f>MAX(ROUNDUP($D17/500,0)*'Wastewater Charges'!W$18+ROUNDUP($E17/500,0)*'Wastewater Charges'!W$17,'Wastewater Charges'!W$15)+'Wastewater Charges'!W$27</f>
        <v>28.474</v>
      </c>
      <c r="H17" s="33">
        <f>(+G17/F17-1)*100</f>
        <v>7.6603145795523186</v>
      </c>
    </row>
    <row r="18" spans="1:8">
      <c r="B18" s="32" t="str">
        <f>+'Typical Bills WATER'!B18</f>
        <v>5/8</v>
      </c>
      <c r="C18" s="33">
        <f>+'Typical Bills WATER'!C18</f>
        <v>0.5</v>
      </c>
      <c r="D18" s="41">
        <f>ROUND(+E18*0.85,0)</f>
        <v>1794</v>
      </c>
      <c r="E18" s="41">
        <v>2110</v>
      </c>
      <c r="F18" s="34">
        <f>MAX(ROUNDUP($D18/500,0)*'Wastewater Charges'!V$18+ROUNDUP($E18/500,0)*'Wastewater Charges'!V$17,'Wastewater Charges'!V$15)+'Wastewater Charges'!V$27</f>
        <v>26.448</v>
      </c>
      <c r="G18" s="34">
        <f>MAX(ROUNDUP($D18/500,0)*'Wastewater Charges'!W$18+ROUNDUP($E18/500,0)*'Wastewater Charges'!W$17,'Wastewater Charges'!W$15)+'Wastewater Charges'!W$27</f>
        <v>28.474</v>
      </c>
      <c r="H18" s="33">
        <f t="shared" si="0"/>
        <v>7.6603145795523186</v>
      </c>
    </row>
    <row r="19" spans="1:8">
      <c r="B19" s="32" t="str">
        <f>+'Typical Bills WATER'!B19</f>
        <v>5/8</v>
      </c>
      <c r="C19" s="33">
        <f>+'Typical Bills WATER'!C19</f>
        <v>0.6</v>
      </c>
      <c r="D19" s="41">
        <v>4000</v>
      </c>
      <c r="E19" s="41">
        <v>5500</v>
      </c>
      <c r="F19" s="34">
        <f>MAX(ROUNDUP($D19/500,0)*'Wastewater Charges'!V$18+ROUNDUP($E19/500,0)*'Wastewater Charges'!V$17,'Wastewater Charges'!V$15)+'Wastewater Charges'!V$27</f>
        <v>51.26</v>
      </c>
      <c r="G19" s="34">
        <f>MAX(ROUNDUP($D19/500,0)*'Wastewater Charges'!W$18+ROUNDUP($E19/500,0)*'Wastewater Charges'!W$17,'Wastewater Charges'!W$15)+'Wastewater Charges'!W$27</f>
        <v>55.282000000000004</v>
      </c>
      <c r="H19" s="33">
        <f t="shared" si="0"/>
        <v>7.8462738977760571</v>
      </c>
    </row>
    <row r="20" spans="1:8">
      <c r="B20" s="32" t="str">
        <f>+'Typical Bills WATER'!B20</f>
        <v>5/8</v>
      </c>
      <c r="C20" s="33">
        <f>+'Typical Bills WATER'!C20</f>
        <v>0.7</v>
      </c>
      <c r="D20" s="41">
        <v>4000</v>
      </c>
      <c r="E20" s="41">
        <v>5500</v>
      </c>
      <c r="F20" s="34">
        <f>MAX(ROUNDUP($D20/500,0)*'Wastewater Charges'!V$18+ROUNDUP($E20/500,0)*'Wastewater Charges'!V$17,'Wastewater Charges'!V$15)+'Wastewater Charges'!V$27</f>
        <v>51.26</v>
      </c>
      <c r="G20" s="34">
        <f>MAX(ROUNDUP($D20/500,0)*'Wastewater Charges'!W$18+ROUNDUP($E20/500,0)*'Wastewater Charges'!W$17,'Wastewater Charges'!W$15)+'Wastewater Charges'!W$27</f>
        <v>55.282000000000004</v>
      </c>
      <c r="H20" s="33">
        <f t="shared" si="0"/>
        <v>7.8462738977760571</v>
      </c>
    </row>
    <row r="21" spans="1:8">
      <c r="B21" s="32" t="str">
        <f>+'Typical Bills WATER'!B21</f>
        <v>5/8</v>
      </c>
      <c r="C21" s="33">
        <f>+'Typical Bills WATER'!C21</f>
        <v>0.8</v>
      </c>
      <c r="D21" s="41">
        <v>26000</v>
      </c>
      <c r="E21" s="41">
        <v>38000</v>
      </c>
      <c r="F21" s="34">
        <f>MAX(ROUNDUP($D21/500,0)*'Wastewater Charges'!V$18+ROUNDUP($E21/500,0)*'Wastewater Charges'!V$17,'Wastewater Charges'!V$15)+'Wastewater Charges'!V$27</f>
        <v>323.46800000000002</v>
      </c>
      <c r="G21" s="34">
        <f>MAX(ROUNDUP($D21/500,0)*'Wastewater Charges'!W$18+ROUNDUP($E21/500,0)*'Wastewater Charges'!W$17,'Wastewater Charges'!W$15)+'Wastewater Charges'!W$27</f>
        <v>349.38599999999997</v>
      </c>
      <c r="H21" s="33">
        <f t="shared" si="0"/>
        <v>8.0125391074232777</v>
      </c>
    </row>
    <row r="22" spans="1:8">
      <c r="B22" s="32" t="str">
        <f>+'Typical Bills WATER'!B22</f>
        <v>5/8</v>
      </c>
      <c r="C22" s="33">
        <f>+'Typical Bills WATER'!C22</f>
        <v>1.7</v>
      </c>
      <c r="D22" s="41">
        <v>26000</v>
      </c>
      <c r="E22" s="41">
        <v>38000</v>
      </c>
      <c r="F22" s="34">
        <f>MAX(ROUNDUP($D22/500,0)*'Wastewater Charges'!V$18+ROUNDUP($E22/500,0)*'Wastewater Charges'!V$17,'Wastewater Charges'!V$15)+'Wastewater Charges'!V$27</f>
        <v>323.46800000000002</v>
      </c>
      <c r="G22" s="34">
        <f>MAX(ROUNDUP($D22/500,0)*'Wastewater Charges'!W$18+ROUNDUP($E22/500,0)*'Wastewater Charges'!W$17,'Wastewater Charges'!W$15)+'Wastewater Charges'!W$27</f>
        <v>349.38599999999997</v>
      </c>
      <c r="H22" s="33">
        <f t="shared" si="0"/>
        <v>8.0125391074232777</v>
      </c>
    </row>
    <row r="23" spans="1:8">
      <c r="B23" s="32" t="str">
        <f>+'Typical Bills WATER'!B23</f>
        <v>5/8</v>
      </c>
      <c r="C23" s="33">
        <f>+'Typical Bills WATER'!C23</f>
        <v>2.7</v>
      </c>
      <c r="D23" s="41">
        <v>4000</v>
      </c>
      <c r="E23" s="41">
        <v>5500</v>
      </c>
      <c r="F23" s="34">
        <f>MAX(ROUNDUP($D23/500,0)*'Wastewater Charges'!V$18+ROUNDUP($E23/500,0)*'Wastewater Charges'!V$17,'Wastewater Charges'!V$15)+'Wastewater Charges'!V$27</f>
        <v>51.26</v>
      </c>
      <c r="G23" s="34">
        <f>MAX(ROUNDUP($D23/500,0)*'Wastewater Charges'!W$18+ROUNDUP($E23/500,0)*'Wastewater Charges'!W$17,'Wastewater Charges'!W$15)+'Wastewater Charges'!W$27</f>
        <v>55.282000000000004</v>
      </c>
      <c r="H23" s="33">
        <f t="shared" si="0"/>
        <v>7.8462738977760571</v>
      </c>
    </row>
    <row r="24" spans="1:8">
      <c r="B24" s="32" t="str">
        <f>+'Typical Bills WATER'!B24</f>
        <v>5/8</v>
      </c>
      <c r="C24" s="33">
        <f>+'Typical Bills WATER'!C24</f>
        <v>3.3</v>
      </c>
      <c r="D24" s="41">
        <v>4000</v>
      </c>
      <c r="E24" s="41">
        <v>5500</v>
      </c>
      <c r="F24" s="34">
        <f>MAX(ROUNDUP($D24/500,0)*'Wastewater Charges'!V$18+ROUNDUP($E24/500,0)*'Wastewater Charges'!V$17,'Wastewater Charges'!V$15)+'Wastewater Charges'!V$27</f>
        <v>51.26</v>
      </c>
      <c r="G24" s="34">
        <f>MAX(ROUNDUP($D24/500,0)*'Wastewater Charges'!W$18+ROUNDUP($E24/500,0)*'Wastewater Charges'!W$17,'Wastewater Charges'!W$15)+'Wastewater Charges'!W$27</f>
        <v>55.282000000000004</v>
      </c>
      <c r="H24" s="33">
        <f t="shared" si="0"/>
        <v>7.8462738977760571</v>
      </c>
    </row>
    <row r="25" spans="1:8">
      <c r="B25" s="54" t="str">
        <f>+'Typical Bills WATER'!B25</f>
        <v>5/8</v>
      </c>
      <c r="C25" s="53">
        <f>+'Typical Bills WATER'!C25</f>
        <v>11</v>
      </c>
      <c r="D25" s="56">
        <v>7000</v>
      </c>
      <c r="E25" s="56">
        <v>11000</v>
      </c>
      <c r="F25" s="52">
        <f>MAX(ROUNDUP($D25/500,0)*'Wastewater Charges'!V$18+ROUNDUP($E25/500,0)*'Wastewater Charges'!V$17,'Wastewater Charges'!V$15)+'Wastewater Charges'!V$27</f>
        <v>89.926000000000002</v>
      </c>
      <c r="G25" s="52">
        <f>MAX(ROUNDUP($D25/500,0)*'Wastewater Charges'!W$18+ROUNDUP($E25/500,0)*'Wastewater Charges'!W$17,'Wastewater Charges'!W$15)+'Wastewater Charges'!W$27</f>
        <v>97.062000000000012</v>
      </c>
      <c r="H25" s="53">
        <f>(+G25/F25-1)*100</f>
        <v>7.9354135622623057</v>
      </c>
    </row>
    <row r="26" spans="1:8">
      <c r="B26" s="32"/>
      <c r="C26" s="25"/>
      <c r="D26" s="25"/>
      <c r="E26" s="25"/>
      <c r="F26" s="34"/>
      <c r="G26" s="34"/>
    </row>
    <row r="27" spans="1:8">
      <c r="A27" t="s">
        <v>46</v>
      </c>
      <c r="B27" s="32">
        <f>+'Typical Bills WATER'!B27</f>
        <v>1</v>
      </c>
      <c r="C27" s="33">
        <f>+'Typical Bills WATER'!C27</f>
        <v>1.7</v>
      </c>
      <c r="D27" s="41">
        <v>7700</v>
      </c>
      <c r="E27" s="41">
        <v>7900</v>
      </c>
      <c r="F27" s="34">
        <f>MAX(ROUNDUP($D27/500,0)*'Wastewater Charges'!V$18+ROUNDUP($E27/500,0)*'Wastewater Charges'!V$17,'Wastewater Charges'!V$15)+'Wastewater Charges'!V$27</f>
        <v>95.816000000000003</v>
      </c>
      <c r="G27" s="34">
        <f>MAX(ROUNDUP($D27/500,0)*'Wastewater Charges'!W$18+ROUNDUP($E27/500,0)*'Wastewater Charges'!W$17,'Wastewater Charges'!W$15)+'Wastewater Charges'!W$27</f>
        <v>103.41</v>
      </c>
      <c r="H27" s="33">
        <f>(+G27/F27-1)*100</f>
        <v>7.9256074142105559</v>
      </c>
    </row>
    <row r="28" spans="1:8">
      <c r="B28" s="32">
        <f>+'Typical Bills WATER'!B28</f>
        <v>1</v>
      </c>
      <c r="C28" s="33">
        <f>+'Typical Bills WATER'!C28</f>
        <v>5</v>
      </c>
      <c r="D28" s="41">
        <v>22500</v>
      </c>
      <c r="E28" s="41">
        <v>24000</v>
      </c>
      <c r="F28" s="34">
        <f>MAX(ROUNDUP($D28/500,0)*'Wastewater Charges'!V$18+ROUNDUP($E28/500,0)*'Wastewater Charges'!V$17,'Wastewater Charges'!V$15)+'Wastewater Charges'!V$27</f>
        <v>267.37700000000001</v>
      </c>
      <c r="G28" s="34">
        <f>MAX(ROUNDUP($D28/500,0)*'Wastewater Charges'!W$18+ROUNDUP($E28/500,0)*'Wastewater Charges'!W$17,'Wastewater Charges'!W$15)+'Wastewater Charges'!W$27</f>
        <v>288.75200000000001</v>
      </c>
      <c r="H28" s="33">
        <f>(+G28/F28-1)*100</f>
        <v>7.9943301031876413</v>
      </c>
    </row>
    <row r="29" spans="1:8">
      <c r="B29" s="32">
        <f>+'Typical Bills WATER'!B29</f>
        <v>1</v>
      </c>
      <c r="C29" s="33">
        <f>+'Typical Bills WATER'!C29</f>
        <v>8</v>
      </c>
      <c r="D29" s="41">
        <v>7700</v>
      </c>
      <c r="E29" s="41">
        <v>7900</v>
      </c>
      <c r="F29" s="34">
        <f>MAX(ROUNDUP($D29/500,0)*'Wastewater Charges'!V$18+ROUNDUP($E29/500,0)*'Wastewater Charges'!V$17,'Wastewater Charges'!V$15)+'Wastewater Charges'!V$27</f>
        <v>95.816000000000003</v>
      </c>
      <c r="G29" s="34">
        <f>MAX(ROUNDUP($D29/500,0)*'Wastewater Charges'!W$18+ROUNDUP($E29/500,0)*'Wastewater Charges'!W$17,'Wastewater Charges'!W$15)+'Wastewater Charges'!W$27</f>
        <v>103.41</v>
      </c>
      <c r="H29" s="33">
        <f>(+G29/F29-1)*100</f>
        <v>7.9256074142105559</v>
      </c>
    </row>
    <row r="30" spans="1:8">
      <c r="B30" s="32">
        <f>+'Typical Bills WATER'!B30</f>
        <v>1</v>
      </c>
      <c r="C30" s="33">
        <f>+'Typical Bills WATER'!C30</f>
        <v>17</v>
      </c>
      <c r="D30" s="41">
        <v>22500</v>
      </c>
      <c r="E30" s="41">
        <v>24000</v>
      </c>
      <c r="F30" s="34">
        <f>MAX(ROUNDUP($D30/500,0)*'Wastewater Charges'!V$18+ROUNDUP($E30/500,0)*'Wastewater Charges'!V$17,'Wastewater Charges'!V$15)+'Wastewater Charges'!V$27</f>
        <v>267.37700000000001</v>
      </c>
      <c r="G30" s="34">
        <f>MAX(ROUNDUP($D30/500,0)*'Wastewater Charges'!W$18+ROUNDUP($E30/500,0)*'Wastewater Charges'!W$17,'Wastewater Charges'!W$15)+'Wastewater Charges'!W$27</f>
        <v>288.75200000000001</v>
      </c>
      <c r="H30" s="33">
        <f>(+G30/F30-1)*100</f>
        <v>7.9943301031876413</v>
      </c>
    </row>
    <row r="31" spans="1:8">
      <c r="B31" s="32"/>
      <c r="C31" s="25"/>
      <c r="D31" s="25"/>
      <c r="E31" s="25"/>
      <c r="F31" s="34"/>
      <c r="G31" s="34"/>
    </row>
    <row r="32" spans="1:8">
      <c r="A32" t="s">
        <v>47</v>
      </c>
      <c r="B32" s="32">
        <f>+'Typical Bills WATER'!B32</f>
        <v>2</v>
      </c>
      <c r="C32" s="33">
        <f>+'Typical Bills WATER'!C32</f>
        <v>7.6</v>
      </c>
      <c r="D32" s="41">
        <f>ROUND(+E32*0.85,0)</f>
        <v>1063</v>
      </c>
      <c r="E32" s="41">
        <v>1250</v>
      </c>
      <c r="F32" s="34">
        <f>MAX(ROUNDUP($D32/500,0)*'Wastewater Charges'!V$18+ROUNDUP($E32/500,0)*'Wastewater Charges'!V$17,'Wastewater Charges'!V$15)+'Wastewater Charges'!V$27</f>
        <v>19.882999999999999</v>
      </c>
      <c r="G32" s="34">
        <f>MAX(ROUNDUP($D32/500,0)*'Wastewater Charges'!W$18+ROUNDUP($E32/500,0)*'Wastewater Charges'!W$17,'Wastewater Charges'!W$15)+'Wastewater Charges'!W$27</f>
        <v>21.38</v>
      </c>
      <c r="H32" s="33">
        <f>(+G32/F32-1)*100</f>
        <v>7.5290449127395354</v>
      </c>
    </row>
    <row r="33" spans="1:8">
      <c r="B33" s="32">
        <f>+'Typical Bills WATER'!B33</f>
        <v>2</v>
      </c>
      <c r="C33" s="33">
        <f>+'Typical Bills WATER'!C33</f>
        <v>16</v>
      </c>
      <c r="D33" s="41">
        <v>22500</v>
      </c>
      <c r="E33" s="41">
        <v>24000</v>
      </c>
      <c r="F33" s="34">
        <f>MAX(ROUNDUP($D33/500,0)*'Wastewater Charges'!V$18+ROUNDUP($E33/500,0)*'Wastewater Charges'!V$17,'Wastewater Charges'!V$15)+'Wastewater Charges'!V$27</f>
        <v>267.37700000000001</v>
      </c>
      <c r="G33" s="34">
        <f>MAX(ROUNDUP($D33/500,0)*'Wastewater Charges'!W$18+ROUNDUP($E33/500,0)*'Wastewater Charges'!W$17,'Wastewater Charges'!W$15)+'Wastewater Charges'!W$27</f>
        <v>288.75200000000001</v>
      </c>
      <c r="H33" s="33">
        <f>(+G33/F33-1)*100</f>
        <v>7.9943301031876413</v>
      </c>
    </row>
    <row r="34" spans="1:8">
      <c r="B34" s="32">
        <f>+'Typical Bills WATER'!B34</f>
        <v>2</v>
      </c>
      <c r="C34" s="33">
        <f>+'Typical Bills WATER'!C34</f>
        <v>33</v>
      </c>
      <c r="D34" s="41">
        <v>66500</v>
      </c>
      <c r="E34" s="41">
        <v>80000</v>
      </c>
      <c r="F34" s="34">
        <f>MAX(ROUNDUP($D34/500,0)*'Wastewater Charges'!V$18+ROUNDUP($E34/500,0)*'Wastewater Charges'!V$17,'Wastewater Charges'!V$15)+'Wastewater Charges'!V$27</f>
        <v>798.76100000000008</v>
      </c>
      <c r="G34" s="34">
        <f>MAX(ROUNDUP($D34/500,0)*'Wastewater Charges'!W$18+ROUNDUP($E34/500,0)*'Wastewater Charges'!W$17,'Wastewater Charges'!W$15)+'Wastewater Charges'!W$27</f>
        <v>862.84799999999996</v>
      </c>
      <c r="H34" s="33">
        <f>(+G34/F34-1)*100</f>
        <v>8.0233010875593322</v>
      </c>
    </row>
    <row r="35" spans="1:8">
      <c r="B35" s="32">
        <f>+'Typical Bills WATER'!B35</f>
        <v>2</v>
      </c>
      <c r="C35" s="33">
        <f>+'Typical Bills WATER'!C35</f>
        <v>100</v>
      </c>
      <c r="D35" s="41">
        <v>7700</v>
      </c>
      <c r="E35" s="41">
        <v>7900</v>
      </c>
      <c r="F35" s="34">
        <f>MAX(ROUNDUP($D35/500,0)*'Wastewater Charges'!V$18+ROUNDUP($E35/500,0)*'Wastewater Charges'!V$17,'Wastewater Charges'!V$15)+'Wastewater Charges'!V$27</f>
        <v>95.816000000000003</v>
      </c>
      <c r="G35" s="34">
        <f>MAX(ROUNDUP($D35/500,0)*'Wastewater Charges'!W$18+ROUNDUP($E35/500,0)*'Wastewater Charges'!W$17,'Wastewater Charges'!W$15)+'Wastewater Charges'!W$27</f>
        <v>103.41</v>
      </c>
      <c r="H35" s="33">
        <f>(+G35/F35-1)*100</f>
        <v>7.9256074142105559</v>
      </c>
    </row>
    <row r="36" spans="1:8">
      <c r="B36" s="32"/>
      <c r="C36" s="25"/>
      <c r="D36" s="25"/>
      <c r="E36" s="25"/>
      <c r="F36" s="34"/>
      <c r="G36" s="34"/>
    </row>
    <row r="37" spans="1:8">
      <c r="A37" t="s">
        <v>48</v>
      </c>
      <c r="B37" s="32">
        <f>+'Typical Bills WATER'!B37</f>
        <v>4</v>
      </c>
      <c r="C37" s="33">
        <f>+'Typical Bills WATER'!C37</f>
        <v>30</v>
      </c>
      <c r="D37" s="41">
        <v>7700</v>
      </c>
      <c r="E37" s="41">
        <v>7900</v>
      </c>
      <c r="F37" s="34">
        <f>MAX(ROUNDUP($D37/500,0)*'Wastewater Charges'!V$18+ROUNDUP($E37/500,0)*'Wastewater Charges'!V$17,'Wastewater Charges'!V$15)+'Wastewater Charges'!V$27</f>
        <v>95.816000000000003</v>
      </c>
      <c r="G37" s="34">
        <f>MAX(ROUNDUP($D37/500,0)*'Wastewater Charges'!W$18+ROUNDUP($E37/500,0)*'Wastewater Charges'!W$17,'Wastewater Charges'!W$15)+'Wastewater Charges'!W$27</f>
        <v>103.41</v>
      </c>
      <c r="H37" s="33">
        <f>(+G37/F37-1)*100</f>
        <v>7.9256074142105559</v>
      </c>
    </row>
    <row r="38" spans="1:8">
      <c r="B38" s="32">
        <f>+'Typical Bills WATER'!B38</f>
        <v>4</v>
      </c>
      <c r="C38" s="33">
        <f>+'Typical Bills WATER'!C38</f>
        <v>170</v>
      </c>
      <c r="D38" s="41">
        <v>10500</v>
      </c>
      <c r="E38" s="41">
        <v>12000</v>
      </c>
      <c r="F38" s="34">
        <f>MAX(ROUNDUP($D38/500,0)*'Wastewater Charges'!V$18+ROUNDUP($E38/500,0)*'Wastewater Charges'!V$17,'Wastewater Charges'!V$15)+'Wastewater Charges'!V$27</f>
        <v>127.193</v>
      </c>
      <c r="G38" s="34">
        <f>MAX(ROUNDUP($D38/500,0)*'Wastewater Charges'!W$18+ROUNDUP($E38/500,0)*'Wastewater Charges'!W$17,'Wastewater Charges'!W$15)+'Wastewater Charges'!W$27</f>
        <v>137.31199999999998</v>
      </c>
      <c r="H38" s="33">
        <f>(+G38/F38-1)*100</f>
        <v>7.9556264888790862</v>
      </c>
    </row>
    <row r="39" spans="1:8">
      <c r="B39" s="32">
        <f>+'Typical Bills WATER'!B39</f>
        <v>4</v>
      </c>
      <c r="C39" s="33">
        <f>+'Typical Bills WATER'!C39</f>
        <v>330</v>
      </c>
      <c r="D39" s="41">
        <v>26000</v>
      </c>
      <c r="E39" s="41">
        <v>38000</v>
      </c>
      <c r="F39" s="34">
        <f>MAX(ROUNDUP($D39/500,0)*'Wastewater Charges'!V$18+ROUNDUP($E39/500,0)*'Wastewater Charges'!V$17,'Wastewater Charges'!V$15)+'Wastewater Charges'!V$27</f>
        <v>323.46800000000002</v>
      </c>
      <c r="G39" s="34">
        <f>MAX(ROUNDUP($D39/500,0)*'Wastewater Charges'!W$18+ROUNDUP($E39/500,0)*'Wastewater Charges'!W$17,'Wastewater Charges'!W$15)+'Wastewater Charges'!W$27</f>
        <v>349.38599999999997</v>
      </c>
      <c r="H39" s="33">
        <f>(+G39/F39-1)*100</f>
        <v>8.0125391074232777</v>
      </c>
    </row>
    <row r="40" spans="1:8">
      <c r="B40" s="32">
        <f>+'Typical Bills WATER'!B40</f>
        <v>4</v>
      </c>
      <c r="C40" s="33">
        <f>+'Typical Bills WATER'!C40</f>
        <v>500</v>
      </c>
      <c r="D40" s="41">
        <v>140000</v>
      </c>
      <c r="E40" s="41">
        <v>160000</v>
      </c>
      <c r="F40" s="34">
        <f>MAX(ROUNDUP($D40/500,0)*'Wastewater Charges'!V$18+ROUNDUP($E40/500,0)*'Wastewater Charges'!V$17,'Wastewater Charges'!V$15)+'Wastewater Charges'!V$27</f>
        <v>1666.8</v>
      </c>
      <c r="G40" s="34">
        <f>MAX(ROUNDUP($D40/500,0)*'Wastewater Charges'!W$18+ROUNDUP($E40/500,0)*'Wastewater Charges'!W$17,'Wastewater Charges'!W$15)+'Wastewater Charges'!W$27</f>
        <v>1800.61</v>
      </c>
      <c r="H40" s="33">
        <f>(+G40/F40-1)*100</f>
        <v>8.0279577633789234</v>
      </c>
    </row>
    <row r="41" spans="1:8">
      <c r="B41" s="32"/>
      <c r="C41" s="25"/>
      <c r="D41" s="25"/>
      <c r="E41" s="25"/>
      <c r="F41" s="34"/>
      <c r="G41" s="34"/>
    </row>
    <row r="42" spans="1:8">
      <c r="A42" t="s">
        <v>49</v>
      </c>
      <c r="B42" s="32">
        <f>+'Typical Bills WATER'!B42</f>
        <v>6</v>
      </c>
      <c r="C42" s="33">
        <f>+'Typical Bills WATER'!C42</f>
        <v>150</v>
      </c>
      <c r="D42" s="41">
        <v>10500</v>
      </c>
      <c r="E42" s="41">
        <v>12000</v>
      </c>
      <c r="F42" s="34">
        <f>MAX(ROUNDUP($D42/500,0)*'Wastewater Charges'!V$18+ROUNDUP($E42/500,0)*'Wastewater Charges'!V$17,'Wastewater Charges'!V$15)+'Wastewater Charges'!V$27</f>
        <v>127.193</v>
      </c>
      <c r="G42" s="34">
        <f>MAX(ROUNDUP($D42/500,0)*'Wastewater Charges'!W$18+ROUNDUP($E42/500,0)*'Wastewater Charges'!W$17,'Wastewater Charges'!W$15)+'Wastewater Charges'!W$27</f>
        <v>137.31199999999998</v>
      </c>
      <c r="H42" s="33">
        <f>(+G42/F42-1)*100</f>
        <v>7.9556264888790862</v>
      </c>
    </row>
    <row r="43" spans="1:8">
      <c r="B43" s="32">
        <f>+'Typical Bills WATER'!B43</f>
        <v>6</v>
      </c>
      <c r="C43" s="33">
        <f>+'Typical Bills WATER'!C43</f>
        <v>500</v>
      </c>
      <c r="D43" s="41">
        <v>41750</v>
      </c>
      <c r="E43" s="41">
        <v>45500</v>
      </c>
      <c r="F43" s="34">
        <f>MAX(ROUNDUP($D43/500,0)*'Wastewater Charges'!V$18+ROUNDUP($E43/500,0)*'Wastewater Charges'!V$17,'Wastewater Charges'!V$15)+'Wastewater Charges'!V$27</f>
        <v>498.072</v>
      </c>
      <c r="G43" s="34">
        <f>MAX(ROUNDUP($D43/500,0)*'Wastewater Charges'!W$18+ROUNDUP($E43/500,0)*'Wastewater Charges'!W$17,'Wastewater Charges'!W$15)+'Wastewater Charges'!W$27</f>
        <v>537.97800000000007</v>
      </c>
      <c r="H43" s="33">
        <f>(+G43/F43-1)*100</f>
        <v>8.0120946369199864</v>
      </c>
    </row>
    <row r="44" spans="1:8">
      <c r="B44" s="32">
        <f>+'Typical Bills WATER'!B44</f>
        <v>6</v>
      </c>
      <c r="C44" s="33">
        <f>+'Typical Bills WATER'!C44</f>
        <v>1000</v>
      </c>
      <c r="D44" s="41">
        <v>26000</v>
      </c>
      <c r="E44" s="41">
        <v>38000</v>
      </c>
      <c r="F44" s="34">
        <f>MAX(ROUNDUP($D44/500,0)*'Wastewater Charges'!V$18+ROUNDUP($E44/500,0)*'Wastewater Charges'!V$17,'Wastewater Charges'!V$15)+'Wastewater Charges'!V$27</f>
        <v>323.46800000000002</v>
      </c>
      <c r="G44" s="34">
        <f>MAX(ROUNDUP($D44/500,0)*'Wastewater Charges'!W$18+ROUNDUP($E44/500,0)*'Wastewater Charges'!W$17,'Wastewater Charges'!W$15)+'Wastewater Charges'!W$27</f>
        <v>349.38599999999997</v>
      </c>
      <c r="H44" s="33">
        <f>(+G44/F44-1)*100</f>
        <v>8.0125391074232777</v>
      </c>
    </row>
    <row r="45" spans="1:8">
      <c r="B45" s="32">
        <f>+'Typical Bills WATER'!B45</f>
        <v>6</v>
      </c>
      <c r="C45" s="33">
        <f>+'Typical Bills WATER'!C45</f>
        <v>1500</v>
      </c>
      <c r="D45" s="41">
        <v>140000</v>
      </c>
      <c r="E45" s="41">
        <v>160000</v>
      </c>
      <c r="F45" s="34">
        <f>MAX(ROUNDUP($D45/500,0)*'Wastewater Charges'!V$18+ROUNDUP($E45/500,0)*'Wastewater Charges'!V$17,'Wastewater Charges'!V$15)+'Wastewater Charges'!V$27</f>
        <v>1666.8</v>
      </c>
      <c r="G45" s="34">
        <f>MAX(ROUNDUP($D45/500,0)*'Wastewater Charges'!W$18+ROUNDUP($E45/500,0)*'Wastewater Charges'!W$17,'Wastewater Charges'!W$15)+'Wastewater Charges'!W$27</f>
        <v>1800.61</v>
      </c>
      <c r="H45" s="33">
        <f>(+G45/F45-1)*100</f>
        <v>8.0279577633789234</v>
      </c>
    </row>
    <row r="46" spans="1:8">
      <c r="B46" s="32"/>
      <c r="C46" s="25"/>
      <c r="D46" s="25"/>
      <c r="E46" s="25"/>
      <c r="F46" s="34"/>
      <c r="G46" s="34"/>
    </row>
    <row r="47" spans="1:8">
      <c r="A47" t="s">
        <v>50</v>
      </c>
      <c r="B47" s="32">
        <f>+'Typical Bills WATER'!B47</f>
        <v>8</v>
      </c>
      <c r="C47" s="33">
        <f>+'Typical Bills WATER'!C47</f>
        <v>750</v>
      </c>
      <c r="D47" s="41">
        <v>10500</v>
      </c>
      <c r="E47" s="41">
        <v>12000</v>
      </c>
      <c r="F47" s="34">
        <f>MAX(ROUNDUP($D47/500,0)*'Wastewater Charges'!V$18+ROUNDUP($E47/500,0)*'Wastewater Charges'!V$17,'Wastewater Charges'!V$15)+'Wastewater Charges'!V$27</f>
        <v>127.193</v>
      </c>
      <c r="G47" s="34">
        <f>MAX(ROUNDUP($D47/500,0)*'Wastewater Charges'!W$18+ROUNDUP($E47/500,0)*'Wastewater Charges'!W$17,'Wastewater Charges'!W$15)+'Wastewater Charges'!W$27</f>
        <v>137.31199999999998</v>
      </c>
      <c r="H47" s="33">
        <f>(+G47/F47-1)*100</f>
        <v>7.9556264888790862</v>
      </c>
    </row>
    <row r="48" spans="1:8">
      <c r="B48" s="32">
        <f>+'Typical Bills WATER'!B48</f>
        <v>8</v>
      </c>
      <c r="C48" s="33">
        <f>+'Typical Bills WATER'!C48</f>
        <v>1500</v>
      </c>
      <c r="D48" s="41">
        <v>66500</v>
      </c>
      <c r="E48" s="41">
        <v>80000</v>
      </c>
      <c r="F48" s="34">
        <f>MAX(ROUNDUP($D48/500,0)*'Wastewater Charges'!V$18+ROUNDUP($E48/500,0)*'Wastewater Charges'!V$17,'Wastewater Charges'!V$15)+'Wastewater Charges'!V$27</f>
        <v>798.76100000000008</v>
      </c>
      <c r="G48" s="34">
        <f>MAX(ROUNDUP($D48/500,0)*'Wastewater Charges'!W$18+ROUNDUP($E48/500,0)*'Wastewater Charges'!W$17,'Wastewater Charges'!W$15)+'Wastewater Charges'!W$27</f>
        <v>862.84799999999996</v>
      </c>
      <c r="H48" s="33">
        <f>(+G48/F48-1)*100</f>
        <v>8.0233010875593322</v>
      </c>
    </row>
    <row r="49" spans="1:8">
      <c r="B49" s="32">
        <f>+'Typical Bills WATER'!B49</f>
        <v>8</v>
      </c>
      <c r="C49" s="33">
        <f>+'Typical Bills WATER'!C49</f>
        <v>2000</v>
      </c>
      <c r="D49" s="41">
        <v>26000</v>
      </c>
      <c r="E49" s="41">
        <v>38000</v>
      </c>
      <c r="F49" s="34">
        <f>MAX(ROUNDUP($D49/500,0)*'Wastewater Charges'!V$18+ROUNDUP($E49/500,0)*'Wastewater Charges'!V$17,'Wastewater Charges'!V$15)+'Wastewater Charges'!V$27</f>
        <v>323.46800000000002</v>
      </c>
      <c r="G49" s="34">
        <f>MAX(ROUNDUP($D49/500,0)*'Wastewater Charges'!W$18+ROUNDUP($E49/500,0)*'Wastewater Charges'!W$17,'Wastewater Charges'!W$15)+'Wastewater Charges'!W$27</f>
        <v>349.38599999999997</v>
      </c>
      <c r="H49" s="33">
        <f>(+G49/F49-1)*100</f>
        <v>8.0125391074232777</v>
      </c>
    </row>
    <row r="50" spans="1:8">
      <c r="B50" s="32">
        <f>+'Typical Bills WATER'!B50</f>
        <v>8</v>
      </c>
      <c r="C50" s="33">
        <f>+'Typical Bills WATER'!C50</f>
        <v>3000</v>
      </c>
      <c r="D50" s="41">
        <v>140000</v>
      </c>
      <c r="E50" s="41">
        <v>160000</v>
      </c>
      <c r="F50" s="34">
        <f>MAX(ROUNDUP($D50/500,0)*'Wastewater Charges'!V$18+ROUNDUP($E50/500,0)*'Wastewater Charges'!V$17,'Wastewater Charges'!V$15)+'Wastewater Charges'!V$27</f>
        <v>1666.8</v>
      </c>
      <c r="G50" s="34">
        <f>MAX(ROUNDUP($D50/500,0)*'Wastewater Charges'!W$18+ROUNDUP($E50/500,0)*'Wastewater Charges'!W$17,'Wastewater Charges'!W$15)+'Wastewater Charges'!W$27</f>
        <v>1800.61</v>
      </c>
      <c r="H50" s="33">
        <f>(+G50/F50-1)*100</f>
        <v>8.0279577633789234</v>
      </c>
    </row>
    <row r="51" spans="1:8">
      <c r="B51" s="32"/>
      <c r="C51" s="25"/>
      <c r="D51" s="25"/>
      <c r="E51" s="25"/>
      <c r="F51" s="34"/>
      <c r="G51" s="34"/>
    </row>
    <row r="52" spans="1:8">
      <c r="A52" t="s">
        <v>51</v>
      </c>
      <c r="B52" s="32">
        <f>+'Typical Bills WATER'!B52</f>
        <v>10</v>
      </c>
      <c r="C52" s="33">
        <f>+'Typical Bills WATER'!C52</f>
        <v>600</v>
      </c>
      <c r="D52" s="41">
        <v>22500</v>
      </c>
      <c r="E52" s="41">
        <v>24000</v>
      </c>
      <c r="F52" s="34">
        <f>MAX(ROUNDUP($D52/500,0)*'Wastewater Charges'!V$18+ROUNDUP($E52/500,0)*'Wastewater Charges'!V$17,'Wastewater Charges'!V$15)+'Wastewater Charges'!V$27</f>
        <v>267.37700000000001</v>
      </c>
      <c r="G52" s="34">
        <f>MAX(ROUNDUP($D52/500,0)*'Wastewater Charges'!W$18+ROUNDUP($E52/500,0)*'Wastewater Charges'!W$17,'Wastewater Charges'!W$15)+'Wastewater Charges'!W$27</f>
        <v>288.75200000000001</v>
      </c>
      <c r="H52" s="33">
        <f>(+G52/F52-1)*100</f>
        <v>7.9943301031876413</v>
      </c>
    </row>
    <row r="53" spans="1:8">
      <c r="B53" s="32">
        <f>+'Typical Bills WATER'!B53</f>
        <v>10</v>
      </c>
      <c r="C53" s="33">
        <f>+'Typical Bills WATER'!C53</f>
        <v>1700</v>
      </c>
      <c r="D53" s="41">
        <v>41750</v>
      </c>
      <c r="E53" s="41">
        <v>45500</v>
      </c>
      <c r="F53" s="34">
        <f>MAX(ROUNDUP($D53/500,0)*'Wastewater Charges'!V$18+ROUNDUP($E53/500,0)*'Wastewater Charges'!V$17,'Wastewater Charges'!V$15)+'Wastewater Charges'!V$27</f>
        <v>498.072</v>
      </c>
      <c r="G53" s="34">
        <f>MAX(ROUNDUP($D53/500,0)*'Wastewater Charges'!W$18+ROUNDUP($E53/500,0)*'Wastewater Charges'!W$17,'Wastewater Charges'!W$15)+'Wastewater Charges'!W$27</f>
        <v>537.97800000000007</v>
      </c>
      <c r="H53" s="33">
        <f>(+G53/F53-1)*100</f>
        <v>8.0120946369199864</v>
      </c>
    </row>
    <row r="54" spans="1:8">
      <c r="B54" s="32">
        <f>+'Typical Bills WATER'!B54</f>
        <v>10</v>
      </c>
      <c r="C54" s="33">
        <f>+'Typical Bills WATER'!C54</f>
        <v>3300</v>
      </c>
      <c r="D54" s="41">
        <v>26000</v>
      </c>
      <c r="E54" s="41">
        <v>38000</v>
      </c>
      <c r="F54" s="34">
        <f>MAX(ROUNDUP($D54/500,0)*'Wastewater Charges'!V$18+ROUNDUP($E54/500,0)*'Wastewater Charges'!V$17,'Wastewater Charges'!V$15)+'Wastewater Charges'!V$27</f>
        <v>323.46800000000002</v>
      </c>
      <c r="G54" s="34">
        <f>MAX(ROUNDUP($D54/500,0)*'Wastewater Charges'!W$18+ROUNDUP($E54/500,0)*'Wastewater Charges'!W$17,'Wastewater Charges'!W$15)+'Wastewater Charges'!W$27</f>
        <v>349.38599999999997</v>
      </c>
      <c r="H54" s="33">
        <f>(+G54/F54-1)*100</f>
        <v>8.0125391074232777</v>
      </c>
    </row>
    <row r="55" spans="1:8">
      <c r="B55" s="32">
        <f>+'Typical Bills WATER'!B55</f>
        <v>10</v>
      </c>
      <c r="C55" s="33">
        <f>+'Typical Bills WATER'!C55</f>
        <v>6000</v>
      </c>
      <c r="D55" s="41">
        <v>140000</v>
      </c>
      <c r="E55" s="41">
        <v>160000</v>
      </c>
      <c r="F55" s="34">
        <f>MAX(ROUNDUP($D55/500,0)*'Wastewater Charges'!V$18+ROUNDUP($E55/500,0)*'Wastewater Charges'!V$17,'Wastewater Charges'!V$15)+'Wastewater Charges'!V$27</f>
        <v>1666.8</v>
      </c>
      <c r="G55" s="34">
        <f>MAX(ROUNDUP($D55/500,0)*'Wastewater Charges'!W$18+ROUNDUP($E55/500,0)*'Wastewater Charges'!W$17,'Wastewater Charges'!W$15)+'Wastewater Charges'!W$27</f>
        <v>1800.61</v>
      </c>
      <c r="H55" s="33">
        <f>(+G55/F55-1)*100</f>
        <v>8.0279577633789234</v>
      </c>
    </row>
    <row r="56" spans="1:8">
      <c r="B56" s="32"/>
      <c r="C56" s="33"/>
      <c r="D56" s="41"/>
      <c r="E56" s="41"/>
      <c r="F56" s="34"/>
      <c r="G56" s="34"/>
      <c r="H56" s="33"/>
    </row>
    <row r="57" spans="1:8">
      <c r="B57" s="32"/>
      <c r="C57" s="33"/>
      <c r="D57" s="41"/>
      <c r="E57" s="41"/>
      <c r="F57" s="34"/>
      <c r="G57" s="34"/>
      <c r="H57" s="33"/>
    </row>
    <row r="58" spans="1:8">
      <c r="B58" s="25" t="s">
        <v>17</v>
      </c>
      <c r="C58" s="25"/>
      <c r="D58" s="25"/>
      <c r="E58" s="25"/>
      <c r="F58" s="25"/>
      <c r="G58" s="25"/>
      <c r="H58" s="25"/>
    </row>
    <row r="59" spans="1:8">
      <c r="B59" s="25" t="s">
        <v>52</v>
      </c>
      <c r="C59" s="25"/>
      <c r="D59" s="25"/>
      <c r="E59" s="25"/>
      <c r="F59" s="25"/>
      <c r="G59" s="25"/>
      <c r="H59" s="25"/>
    </row>
  </sheetData>
  <mergeCells count="3">
    <mergeCell ref="G9:H9"/>
    <mergeCell ref="B5:H5"/>
    <mergeCell ref="B6:H6"/>
  </mergeCells>
  <hyperlinks>
    <hyperlink ref="A1" location="TOC!A1" display="TOC!A1" xr:uid="{00000000-0004-0000-0800-000000000000}"/>
  </hyperlinks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CE71B1-9C37-4BAE-9CEA-BC5CB7C04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652F6-7863-4741-9DFE-E7781176DB1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2FE4B44-4696-4F77-A3F9-1C27894BC0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TOC</vt:lpstr>
      <vt:lpstr>Wastewater Charges</vt:lpstr>
      <vt:lpstr>Water Charges</vt:lpstr>
      <vt:lpstr>Typical Res Bills TOTAL</vt:lpstr>
      <vt:lpstr>Typ Non Res Bill TOTAL PARCEL</vt:lpstr>
      <vt:lpstr>Typical Bills WATER</vt:lpstr>
      <vt:lpstr>Typical Bills SANITARY</vt:lpstr>
      <vt:lpstr>Typical Res Bills SW</vt:lpstr>
      <vt:lpstr>Typical Non-Res Bills SW</vt:lpstr>
      <vt:lpstr>Inputs</vt:lpstr>
      <vt:lpstr>'Typ Non Res Bill TOTAL PARCEL'!Print_Area</vt:lpstr>
      <vt:lpstr>'Typical Non-Res Bills SW'!Print_Area</vt:lpstr>
      <vt:lpstr>'Typical Res Bills TOTAL'!Print_Area</vt:lpstr>
      <vt:lpstr>'Wastewater Charges'!Print_Area</vt:lpstr>
      <vt:lpstr>'Water Charges'!Print_Area</vt:lpstr>
    </vt:vector>
  </TitlesOfParts>
  <Company>Black &amp; Veatch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jag70316</dc:creator>
  <cp:lastModifiedBy>Jagt, Dave A.</cp:lastModifiedBy>
  <cp:lastPrinted>2022-02-18T16:55:39Z</cp:lastPrinted>
  <dcterms:created xsi:type="dcterms:W3CDTF">2012-01-31T17:48:44Z</dcterms:created>
  <dcterms:modified xsi:type="dcterms:W3CDTF">2022-03-01T15:40:14Z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