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showInkAnnotation="0"/>
  <mc:AlternateContent xmlns:mc="http://schemas.openxmlformats.org/markup-compatibility/2006">
    <mc:Choice Requires="x15">
      <x15ac:absPath xmlns:x15ac="http://schemas.microsoft.com/office/spreadsheetml/2010/11/ac" url="\\Mac\Home\Documents\_Projects\Philadelphia\Rate Case 2022\"/>
    </mc:Choice>
  </mc:AlternateContent>
  <xr:revisionPtr revIDLastSave="0" documentId="8_{CA574C76-6DED-48CC-847A-E8AF8F4E904F}" xr6:coauthVersionLast="47" xr6:coauthVersionMax="47" xr10:uidLastSave="{00000000-0000-0000-0000-000000000000}"/>
  <bookViews>
    <workbookView xWindow="-120" yWindow="225" windowWidth="25440" windowHeight="14310" tabRatio="583" xr2:uid="{00000000-000D-0000-FFFF-FFFF00000000}"/>
  </bookViews>
  <sheets>
    <sheet name="Cover" sheetId="27" r:id="rId1"/>
    <sheet name="Table of Contents" sheetId="26" r:id="rId2"/>
    <sheet name="TRR_Summary" sheetId="16" r:id="rId3"/>
    <sheet name="TRR_Assumptions" sheetId="13" r:id="rId4"/>
    <sheet name="TRR_Projections" sheetId="35" r:id="rId5"/>
    <sheet name="Data Source" sheetId="17" r:id="rId6"/>
    <sheet name="DR_1" sheetId="24" r:id="rId7"/>
    <sheet name="DR_2" sheetId="25" r:id="rId8"/>
    <sheet name="DR_3A Participants" sheetId="20" r:id="rId9"/>
    <sheet name="DR_4" sheetId="21" r:id="rId10"/>
  </sheets>
  <definedNames>
    <definedName name="_xlnm.Print_Area" localSheetId="0">Cover!$A$1:$I$11</definedName>
    <definedName name="_xlnm.Print_Area" localSheetId="5">'Data Source'!$A$1:$K$2</definedName>
    <definedName name="_xlnm.Print_Area" localSheetId="6">DR_1!$A$1:$B$19</definedName>
    <definedName name="_xlnm.Print_Area" localSheetId="7">DR_2!$A$1:$B$19</definedName>
    <definedName name="_xlnm.Print_Area" localSheetId="8">'DR_3A Participants'!$A$4:$A$12</definedName>
    <definedName name="_xlnm.Print_Area" localSheetId="9">DR_4!$A$4:$A$13</definedName>
    <definedName name="_xlnm.Print_Area" localSheetId="1">'Table of Contents'!$A$1:$B$10</definedName>
    <definedName name="_xlnm.Print_Area" localSheetId="3">TRR_Assumptions!$A$1:$G$10</definedName>
    <definedName name="_xlnm.Print_Area" localSheetId="4">TRR_Projections!$A$1:$AG$14</definedName>
    <definedName name="_xlnm.Print_Titles" localSheetId="6">DR_1!$A:$B</definedName>
    <definedName name="_xlnm.Print_Titles" localSheetId="7">DR_2!$A:$B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35" l="1"/>
  <c r="C11" i="35"/>
  <c r="J9" i="35"/>
  <c r="H9" i="35"/>
  <c r="D9" i="35"/>
  <c r="B9" i="35"/>
  <c r="AG6" i="35"/>
  <c r="AF6" i="35"/>
  <c r="AF8" i="35" s="1"/>
  <c r="AF10" i="35" s="1"/>
  <c r="AE6" i="35"/>
  <c r="AE8" i="35" s="1"/>
  <c r="AE10" i="35" s="1"/>
  <c r="AD6" i="35"/>
  <c r="AD8" i="35" s="1"/>
  <c r="AD10" i="35" s="1"/>
  <c r="AC6" i="35"/>
  <c r="AC8" i="35" s="1"/>
  <c r="AC10" i="35" s="1"/>
  <c r="AB6" i="35"/>
  <c r="AB8" i="35" s="1"/>
  <c r="AB10" i="35" s="1"/>
  <c r="AA6" i="35"/>
  <c r="AA8" i="35" s="1"/>
  <c r="AA10" i="35" s="1"/>
  <c r="Z6" i="35"/>
  <c r="Z8" i="35" s="1"/>
  <c r="Z10" i="35" s="1"/>
  <c r="Y6" i="35"/>
  <c r="Y8" i="35" s="1"/>
  <c r="Y10" i="35" s="1"/>
  <c r="X6" i="35"/>
  <c r="X8" i="35" s="1"/>
  <c r="X10" i="35" s="1"/>
  <c r="W6" i="35"/>
  <c r="W8" i="35" s="1"/>
  <c r="W10" i="35" s="1"/>
  <c r="V6" i="35"/>
  <c r="V8" i="35" s="1"/>
  <c r="V10" i="35" s="1"/>
  <c r="U6" i="35"/>
  <c r="U8" i="35" s="1"/>
  <c r="U10" i="35" s="1"/>
  <c r="T6" i="35"/>
  <c r="T8" i="35" s="1"/>
  <c r="T10" i="35" s="1"/>
  <c r="S6" i="35"/>
  <c r="S8" i="35" s="1"/>
  <c r="S10" i="35" s="1"/>
  <c r="R6" i="35"/>
  <c r="R8" i="35" s="1"/>
  <c r="R10" i="35" s="1"/>
  <c r="Q6" i="35"/>
  <c r="Q8" i="35" s="1"/>
  <c r="Q10" i="35" s="1"/>
  <c r="P6" i="35"/>
  <c r="P8" i="35" s="1"/>
  <c r="P10" i="35" s="1"/>
  <c r="O6" i="35"/>
  <c r="O8" i="35" s="1"/>
  <c r="O10" i="35" s="1"/>
  <c r="N6" i="35"/>
  <c r="N8" i="35" s="1"/>
  <c r="N10" i="35" s="1"/>
  <c r="M6" i="35"/>
  <c r="M8" i="35" s="1"/>
  <c r="M10" i="35" s="1"/>
  <c r="L6" i="35"/>
  <c r="L8" i="35" s="1"/>
  <c r="L10" i="35" s="1"/>
  <c r="K6" i="35"/>
  <c r="K8" i="35" s="1"/>
  <c r="K10" i="35" s="1"/>
  <c r="J6" i="35"/>
  <c r="J8" i="35" s="1"/>
  <c r="J10" i="35" s="1"/>
  <c r="I6" i="35"/>
  <c r="I8" i="35" s="1"/>
  <c r="I10" i="35" s="1"/>
  <c r="H6" i="35"/>
  <c r="H8" i="35" s="1"/>
  <c r="H10" i="35" s="1"/>
  <c r="G6" i="35"/>
  <c r="G8" i="35" s="1"/>
  <c r="G10" i="35" s="1"/>
  <c r="F6" i="35"/>
  <c r="F8" i="35" s="1"/>
  <c r="F10" i="35" s="1"/>
  <c r="E6" i="35"/>
  <c r="E8" i="35" s="1"/>
  <c r="E10" i="35" s="1"/>
  <c r="D6" i="35"/>
  <c r="D8" i="35" s="1"/>
  <c r="D10" i="35" s="1"/>
  <c r="C6" i="35"/>
  <c r="C8" i="35" s="1"/>
  <c r="C10" i="35" s="1"/>
  <c r="B6" i="35"/>
  <c r="B8" i="35" s="1"/>
  <c r="B10" i="35" s="1"/>
  <c r="E5" i="35"/>
  <c r="C5" i="35"/>
  <c r="L9" i="21"/>
  <c r="L7" i="35" s="1"/>
  <c r="L4" i="21"/>
  <c r="L9" i="20"/>
  <c r="L5" i="35" s="1"/>
  <c r="M5" i="35" s="1"/>
  <c r="N5" i="35" s="1"/>
  <c r="L4" i="20"/>
  <c r="M15" i="25"/>
  <c r="M16" i="25"/>
  <c r="M14" i="25"/>
  <c r="L11" i="35" s="1"/>
  <c r="M4" i="25"/>
  <c r="M13" i="25" s="1"/>
  <c r="M16" i="24"/>
  <c r="M15" i="24"/>
  <c r="M14" i="24"/>
  <c r="L9" i="35" s="1"/>
  <c r="M4" i="24"/>
  <c r="M13" i="24" s="1"/>
  <c r="G9" i="21"/>
  <c r="G7" i="35" s="1"/>
  <c r="H9" i="21"/>
  <c r="H7" i="35" s="1"/>
  <c r="I9" i="21"/>
  <c r="I7" i="35" s="1"/>
  <c r="J9" i="21"/>
  <c r="J7" i="35" s="1"/>
  <c r="K9" i="21"/>
  <c r="K7" i="35" s="1"/>
  <c r="B9" i="21"/>
  <c r="B7" i="35" s="1"/>
  <c r="C9" i="21"/>
  <c r="C7" i="35" s="1"/>
  <c r="D9" i="21"/>
  <c r="D7" i="35" s="1"/>
  <c r="E9" i="21"/>
  <c r="E7" i="35" s="1"/>
  <c r="G4" i="21"/>
  <c r="H4" i="21"/>
  <c r="I4" i="21"/>
  <c r="J4" i="21"/>
  <c r="K4" i="21"/>
  <c r="G9" i="20"/>
  <c r="G5" i="35" s="1"/>
  <c r="H9" i="20"/>
  <c r="H5" i="35" s="1"/>
  <c r="I9" i="20"/>
  <c r="I5" i="35" s="1"/>
  <c r="J9" i="20"/>
  <c r="J5" i="35" s="1"/>
  <c r="K9" i="20"/>
  <c r="K5" i="35" s="1"/>
  <c r="G4" i="20"/>
  <c r="H4" i="20"/>
  <c r="I4" i="20"/>
  <c r="J4" i="20"/>
  <c r="K4" i="20"/>
  <c r="H14" i="25"/>
  <c r="G11" i="35" s="1"/>
  <c r="I14" i="25"/>
  <c r="H11" i="35" s="1"/>
  <c r="J14" i="25"/>
  <c r="I11" i="35" s="1"/>
  <c r="K14" i="25"/>
  <c r="J11" i="35" s="1"/>
  <c r="L14" i="25"/>
  <c r="K11" i="35" s="1"/>
  <c r="H15" i="25"/>
  <c r="I15" i="25"/>
  <c r="J15" i="25"/>
  <c r="K15" i="25"/>
  <c r="L15" i="25"/>
  <c r="H16" i="25"/>
  <c r="I16" i="25"/>
  <c r="J16" i="25"/>
  <c r="K16" i="25"/>
  <c r="L16" i="25"/>
  <c r="H4" i="25"/>
  <c r="H13" i="25" s="1"/>
  <c r="I4" i="25"/>
  <c r="I13" i="25" s="1"/>
  <c r="J4" i="25"/>
  <c r="J13" i="25" s="1"/>
  <c r="K4" i="25"/>
  <c r="K13" i="25" s="1"/>
  <c r="L4" i="25"/>
  <c r="L13" i="25" s="1"/>
  <c r="F15" i="25"/>
  <c r="C15" i="25"/>
  <c r="G15" i="25"/>
  <c r="D15" i="25"/>
  <c r="E16" i="25"/>
  <c r="H14" i="24"/>
  <c r="G9" i="35" s="1"/>
  <c r="I14" i="24"/>
  <c r="J14" i="24"/>
  <c r="I9" i="35" s="1"/>
  <c r="K14" i="24"/>
  <c r="L14" i="24"/>
  <c r="K9" i="35" s="1"/>
  <c r="H15" i="24"/>
  <c r="I15" i="24"/>
  <c r="J15" i="24"/>
  <c r="K15" i="24"/>
  <c r="L15" i="24"/>
  <c r="H16" i="24"/>
  <c r="I16" i="24"/>
  <c r="J16" i="24"/>
  <c r="K16" i="24"/>
  <c r="L16" i="24"/>
  <c r="H4" i="24"/>
  <c r="H13" i="24" s="1"/>
  <c r="I4" i="24"/>
  <c r="I13" i="24" s="1"/>
  <c r="J4" i="24"/>
  <c r="J13" i="24" s="1"/>
  <c r="K4" i="24"/>
  <c r="K13" i="24" s="1"/>
  <c r="L4" i="24"/>
  <c r="L13" i="24" s="1"/>
  <c r="G14" i="24"/>
  <c r="F9" i="35" s="1"/>
  <c r="G15" i="24"/>
  <c r="G16" i="24"/>
  <c r="C15" i="24"/>
  <c r="A1" i="21"/>
  <c r="A1" i="20"/>
  <c r="B4" i="21"/>
  <c r="C4" i="21"/>
  <c r="D4" i="21"/>
  <c r="E4" i="21"/>
  <c r="F4" i="21"/>
  <c r="E15" i="24"/>
  <c r="F15" i="24"/>
  <c r="D15" i="24"/>
  <c r="E16" i="24"/>
  <c r="B4" i="20"/>
  <c r="C4" i="20"/>
  <c r="D4" i="20"/>
  <c r="E4" i="20"/>
  <c r="F4" i="20"/>
  <c r="B9" i="20"/>
  <c r="B5" i="35" s="1"/>
  <c r="C9" i="20"/>
  <c r="D9" i="20"/>
  <c r="D5" i="35" s="1"/>
  <c r="E9" i="20"/>
  <c r="F9" i="20"/>
  <c r="F5" i="35" s="1"/>
  <c r="C14" i="24"/>
  <c r="D14" i="24"/>
  <c r="C9" i="35" s="1"/>
  <c r="E14" i="24"/>
  <c r="F14" i="24"/>
  <c r="E9" i="35" s="1"/>
  <c r="C16" i="24"/>
  <c r="D16" i="24"/>
  <c r="F16" i="24"/>
  <c r="C4" i="24"/>
  <c r="C13" i="24" s="1"/>
  <c r="D4" i="24"/>
  <c r="D13" i="24" s="1"/>
  <c r="E4" i="24"/>
  <c r="E13" i="24" s="1"/>
  <c r="F4" i="24"/>
  <c r="F13" i="24" s="1"/>
  <c r="G4" i="24"/>
  <c r="G13" i="24" s="1"/>
  <c r="C13" i="25"/>
  <c r="E13" i="25"/>
  <c r="G13" i="25"/>
  <c r="C4" i="25"/>
  <c r="D4" i="25"/>
  <c r="D13" i="25" s="1"/>
  <c r="E4" i="25"/>
  <c r="F4" i="25"/>
  <c r="F13" i="25" s="1"/>
  <c r="G4" i="25"/>
  <c r="G16" i="25"/>
  <c r="C16" i="25"/>
  <c r="F9" i="21"/>
  <c r="F7" i="35" s="1"/>
  <c r="A1" i="24"/>
  <c r="A1" i="25"/>
  <c r="F16" i="25"/>
  <c r="D16" i="25"/>
  <c r="E15" i="25"/>
  <c r="G14" i="25"/>
  <c r="F11" i="35" s="1"/>
  <c r="F14" i="25"/>
  <c r="E14" i="25"/>
  <c r="D11" i="35" s="1"/>
  <c r="D14" i="25"/>
  <c r="C14" i="25"/>
  <c r="B11" i="35" s="1"/>
  <c r="F9" i="16" s="1"/>
  <c r="A13" i="16"/>
  <c r="A12" i="16"/>
  <c r="A10" i="16"/>
  <c r="A11" i="16"/>
  <c r="A9" i="16"/>
  <c r="D10" i="16" l="1"/>
  <c r="D9" i="16"/>
  <c r="B9" i="16"/>
  <c r="C10" i="16"/>
  <c r="C9" i="16"/>
  <c r="F10" i="16"/>
  <c r="E10" i="16"/>
  <c r="E9" i="16"/>
  <c r="B10" i="16"/>
  <c r="O5" i="35"/>
  <c r="P5" i="35" l="1"/>
  <c r="C10" i="13"/>
  <c r="O9" i="35" s="1"/>
  <c r="C6" i="13"/>
  <c r="M7" i="35" l="1"/>
  <c r="N7" i="35"/>
  <c r="O11" i="35"/>
  <c r="M9" i="35"/>
  <c r="N9" i="35"/>
  <c r="N11" i="35"/>
  <c r="M11" i="35"/>
  <c r="O7" i="35"/>
  <c r="P11" i="35"/>
  <c r="P9" i="35"/>
  <c r="Q5" i="35"/>
  <c r="R5" i="35" s="1"/>
  <c r="P7" i="35"/>
  <c r="S3" i="35" l="1"/>
  <c r="S5" i="35"/>
  <c r="Q7" i="35"/>
  <c r="Q11" i="35"/>
  <c r="Q9" i="35"/>
  <c r="B5" i="16"/>
  <c r="A5" i="16"/>
  <c r="B4" i="16"/>
  <c r="A4" i="16"/>
  <c r="B3" i="16"/>
  <c r="A3" i="16"/>
  <c r="T3" i="35" l="1"/>
  <c r="T5" i="35"/>
  <c r="R11" i="35"/>
  <c r="R9" i="35"/>
  <c r="R7" i="35"/>
  <c r="C5" i="16"/>
  <c r="C4" i="16"/>
  <c r="U3" i="35" l="1"/>
  <c r="U5" i="35"/>
  <c r="C11" i="16"/>
  <c r="B11" i="16"/>
  <c r="B12" i="16"/>
  <c r="C12" i="16"/>
  <c r="S7" i="35"/>
  <c r="S9" i="35"/>
  <c r="S11" i="35"/>
  <c r="V3" i="35" l="1"/>
  <c r="V5" i="35"/>
  <c r="T11" i="35"/>
  <c r="F11" i="16" s="1"/>
  <c r="T9" i="35"/>
  <c r="E11" i="16" s="1"/>
  <c r="T7" i="35"/>
  <c r="D12" i="16" l="1"/>
  <c r="D11" i="16"/>
  <c r="W5" i="35"/>
  <c r="W3" i="35"/>
  <c r="E12" i="16"/>
  <c r="F12" i="16"/>
  <c r="U7" i="35"/>
  <c r="U11" i="35"/>
  <c r="U9" i="35"/>
  <c r="V11" i="35" l="1"/>
  <c r="V9" i="35"/>
  <c r="V7" i="35"/>
  <c r="W7" i="35" l="1"/>
  <c r="W9" i="35"/>
  <c r="X5" i="35"/>
  <c r="W11" i="35"/>
  <c r="X11" i="35" l="1"/>
  <c r="X9" i="35"/>
  <c r="Y5" i="35"/>
  <c r="X7" i="35"/>
  <c r="Y7" i="35" l="1"/>
  <c r="Y11" i="35"/>
  <c r="Y9" i="35"/>
  <c r="Z5" i="35"/>
  <c r="Z11" i="35" l="1"/>
  <c r="Z9" i="35"/>
  <c r="AA5" i="35"/>
  <c r="Z7" i="35"/>
  <c r="AA7" i="35" l="1"/>
  <c r="AA9" i="35"/>
  <c r="AB5" i="35"/>
  <c r="AA11" i="35"/>
  <c r="AB11" i="35" l="1"/>
  <c r="AB9" i="35"/>
  <c r="AC5" i="35"/>
  <c r="AB7" i="35"/>
  <c r="AC7" i="35" l="1"/>
  <c r="AC11" i="35"/>
  <c r="AC9" i="35"/>
  <c r="AD5" i="35"/>
  <c r="AD11" i="35" l="1"/>
  <c r="AD9" i="35"/>
  <c r="AE5" i="35"/>
  <c r="AD7" i="35"/>
  <c r="AE7" i="35" l="1"/>
  <c r="AE11" i="35"/>
  <c r="AE9" i="35"/>
  <c r="AF5" i="35"/>
  <c r="B13" i="16" l="1"/>
  <c r="C13" i="16"/>
  <c r="AF11" i="35"/>
  <c r="F13" i="16" s="1"/>
  <c r="AF9" i="35"/>
  <c r="E13" i="16" s="1"/>
  <c r="AF7" i="35"/>
  <c r="D13" i="16" s="1"/>
  <c r="AG5" i="35"/>
  <c r="AG7" i="35" s="1"/>
</calcChain>
</file>

<file path=xl/sharedStrings.xml><?xml version="1.0" encoding="utf-8"?>
<sst xmlns="http://schemas.openxmlformats.org/spreadsheetml/2006/main" count="161" uniqueCount="95">
  <si>
    <t>Actual</t>
  </si>
  <si>
    <t>Projected</t>
  </si>
  <si>
    <t>Subscription Projection</t>
  </si>
  <si>
    <t>Consumption</t>
  </si>
  <si>
    <t>Scenario or Assumption</t>
  </si>
  <si>
    <t>Assumption or scenario type</t>
  </si>
  <si>
    <t>Scenario name</t>
  </si>
  <si>
    <t>Short description</t>
  </si>
  <si>
    <t>Customer Group</t>
  </si>
  <si>
    <t>Discount Group</t>
  </si>
  <si>
    <t>PHA Discount</t>
  </si>
  <si>
    <t>Non-TAP</t>
  </si>
  <si>
    <t>PWD</t>
  </si>
  <si>
    <t>Non-PHA Discount (Other discount)</t>
  </si>
  <si>
    <t>Customer Type</t>
  </si>
  <si>
    <t>Projected Increase in Participants</t>
  </si>
  <si>
    <t>Total Participants</t>
  </si>
  <si>
    <t>Total Discounts</t>
  </si>
  <si>
    <t>Total Sewer Consumption</t>
  </si>
  <si>
    <t>Data Type</t>
  </si>
  <si>
    <t>Updated</t>
  </si>
  <si>
    <t>Assumptions used to develop the Results below</t>
  </si>
  <si>
    <t>Table of Contents</t>
  </si>
  <si>
    <t>Sheet Name</t>
  </si>
  <si>
    <t>Description</t>
  </si>
  <si>
    <t>List of each sheet in the workbook</t>
  </si>
  <si>
    <t>TRR_Assumptions</t>
  </si>
  <si>
    <t>Dashboard of assumptions, allowing for variable scenario selection</t>
  </si>
  <si>
    <t>Data Source</t>
  </si>
  <si>
    <t>Description of data source for reports DR-1, DR-2, DR-3A Participants, and DR-4</t>
  </si>
  <si>
    <t>Monthly Total TAP Discount Amount</t>
  </si>
  <si>
    <t>Philadelphia Water Department</t>
  </si>
  <si>
    <t>For:</t>
  </si>
  <si>
    <t>By:</t>
  </si>
  <si>
    <t>DR_1</t>
  </si>
  <si>
    <t>DR_2</t>
  </si>
  <si>
    <t>DR_3A Participants</t>
  </si>
  <si>
    <t>DR_4</t>
  </si>
  <si>
    <t>Cost per participant</t>
  </si>
  <si>
    <t>No Additional Discount</t>
  </si>
  <si>
    <t xml:space="preserve">Water Monthly Retail Billed Volume </t>
  </si>
  <si>
    <t>Sewer Monthly Retail Billed Volume</t>
  </si>
  <si>
    <t>Actuals and flat</t>
  </si>
  <si>
    <t>All</t>
  </si>
  <si>
    <t>Participants</t>
  </si>
  <si>
    <t>Discount</t>
  </si>
  <si>
    <t>Water Consumption</t>
  </si>
  <si>
    <t>Water Billed Volume Subtotals, by Customer Group</t>
  </si>
  <si>
    <t>Sewer Billed Volume Subtotals, by Customer Group</t>
  </si>
  <si>
    <t>TAP</t>
  </si>
  <si>
    <t>PHA</t>
  </si>
  <si>
    <t>Non-PHA</t>
  </si>
  <si>
    <t>Total TAP Sewer Consumption</t>
  </si>
  <si>
    <t>Total TAP Water Consumption</t>
  </si>
  <si>
    <t>Flat</t>
  </si>
  <si>
    <t>Total TAP Water Consumption (CF)</t>
  </si>
  <si>
    <t>Total TAP Sewer Consumption (CF)</t>
  </si>
  <si>
    <t>Total TAP Discount</t>
  </si>
  <si>
    <t>Average Monthly Number of TAP Participants</t>
  </si>
  <si>
    <t>Total Number of TAP Participants</t>
  </si>
  <si>
    <t>All Groups</t>
  </si>
  <si>
    <t>PWD (not subject to reconciliation)</t>
  </si>
  <si>
    <t>Senior Discount*</t>
  </si>
  <si>
    <t>*Senior Citizen Discount figures represent only those Senior Citizen Discount customers not enrolled in TAP. Senior Citizen Discount customers enrolled in TAP are included in the TAP Customer Group.</t>
  </si>
  <si>
    <t>Monthly Number of TAP Participants</t>
  </si>
  <si>
    <t xml:space="preserve">*Senior Citizen Discount figures represent only those Senior Citizen Discount customers enrolled in TAP. </t>
  </si>
  <si>
    <t>Senior Citizen Discount customers not enrolled in TAP are not counted among TAP Participants.</t>
  </si>
  <si>
    <t xml:space="preserve">** Note: TAP Participants were lower in September-November of 2020 because they excluded customers who originally received a TAP bill but were subsequently reversed and rebilled owing to </t>
  </si>
  <si>
    <t xml:space="preserve">     data updates associated with the rollout of principal forgiveness that impacted approximately 2,200 accounts.  These we correctly reversed and rebilled in December 2020.</t>
  </si>
  <si>
    <t>Most Recent Period</t>
  </si>
  <si>
    <t>Reconciled Period</t>
  </si>
  <si>
    <t>Next Rate Period</t>
  </si>
  <si>
    <t>September 2021</t>
  </si>
  <si>
    <t>August 2022</t>
  </si>
  <si>
    <t>August 2021</t>
  </si>
  <si>
    <t>Data in DR_1, DR_2, DR_3A Participants, and DR_4 are from reports run on a static copy of basis2 captured on</t>
  </si>
  <si>
    <t>December 2021</t>
  </si>
  <si>
    <t>September 2022</t>
  </si>
  <si>
    <t>August 2023</t>
  </si>
  <si>
    <t>Senior Discount</t>
  </si>
  <si>
    <t>No Discount</t>
  </si>
  <si>
    <t>20211130 TAP Reconcilable Rider Reports and Projection Model</t>
  </si>
  <si>
    <t>Sept 2022 - Aug 2023</t>
  </si>
  <si>
    <t>Cost per participant (based on Reconciled Period and Most Recent Period - Actuals)</t>
  </si>
  <si>
    <t>Consumption per participant (based on Reconciled Period and Most Recent Period - Actuals)</t>
  </si>
  <si>
    <t>Projected Next Rate Period Summary</t>
  </si>
  <si>
    <t>NEXT RATE PERIOD</t>
  </si>
  <si>
    <t>MOST RECENT PERIOD</t>
  </si>
  <si>
    <t>RECONCILED PERIOD</t>
  </si>
  <si>
    <t>February 2021</t>
  </si>
  <si>
    <t>January 2022</t>
  </si>
  <si>
    <t>Summary of assumptions and results by period of major variables requested of Raftelis using a 12.5k estimate of auto-enrollment of customers in TAP in Calendar Year 2022</t>
  </si>
  <si>
    <t>Results by month of major variables requested of Raftelis using 12.5k auto-enrollment customers</t>
  </si>
  <si>
    <t>TRR_Summary</t>
  </si>
  <si>
    <t>TRR_Projections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</si>
</sst>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\$* #,##0.00_);_(\$* \(#,##0.00\);_(\$* &quot;-&quot;??_);_(@_)"/>
    <numFmt numFmtId="167" formatCode="[$-409]mmm\ yyyy"/>
    <numFmt numFmtId="169" formatCode="[$-409]mmm\-yy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0"/>
      <name val="Calibri"/>
      <family val="2"/>
    </font>
    <font>
      <sz val="8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176D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2176D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/>
      <bottom style="thin">
        <color theme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/>
      <right/>
      <top style="medium">
        <color theme="8"/>
      </top>
      <bottom/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/>
      <top/>
      <bottom/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/>
      </right>
      <top style="thin">
        <color theme="8" tint="-0.249977111117893"/>
      </top>
      <bottom style="thin">
        <color theme="8" tint="-0.249977111117893"/>
      </bottom>
      <diagonal/>
    </border>
    <border>
      <left style="medium">
        <color theme="8"/>
      </left>
      <right/>
      <top/>
      <bottom style="medium">
        <color theme="8"/>
      </bottom>
      <diagonal/>
    </border>
    <border>
      <left/>
      <right/>
      <top/>
      <bottom style="medium">
        <color theme="8"/>
      </bottom>
      <diagonal/>
    </border>
    <border>
      <left/>
      <right style="medium">
        <color theme="8"/>
      </right>
      <top/>
      <bottom style="medium">
        <color theme="8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23" fillId="0" borderId="0"/>
    <xf numFmtId="0" fontId="20" fillId="0" borderId="0"/>
  </cellStyleXfs>
  <cellXfs count="139">
    <xf numFmtId="0" fontId="0" fillId="0" borderId="0" xfId="0"/>
    <xf numFmtId="164" fontId="0" fillId="0" borderId="0" xfId="42" applyNumberFormat="1" applyFont="1"/>
    <xf numFmtId="0" fontId="18" fillId="0" borderId="0" xfId="0" applyFont="1"/>
    <xf numFmtId="10" fontId="19" fillId="33" borderId="10" xfId="44" applyNumberFormat="1" applyFont="1" applyFill="1" applyBorder="1"/>
    <xf numFmtId="0" fontId="14" fillId="0" borderId="0" xfId="0" applyFont="1"/>
    <xf numFmtId="0" fontId="0" fillId="35" borderId="0" xfId="0" applyFill="1"/>
    <xf numFmtId="0" fontId="0" fillId="0" borderId="0" xfId="0" applyFill="1"/>
    <xf numFmtId="164" fontId="23" fillId="0" borderId="0" xfId="46" applyNumberFormat="1" applyFont="1"/>
    <xf numFmtId="44" fontId="0" fillId="36" borderId="0" xfId="43" applyFont="1" applyFill="1"/>
    <xf numFmtId="1" fontId="0" fillId="36" borderId="0" xfId="0" applyNumberFormat="1" applyFill="1"/>
    <xf numFmtId="0" fontId="0" fillId="37" borderId="0" xfId="0" applyFill="1"/>
    <xf numFmtId="164" fontId="0" fillId="0" borderId="0" xfId="42" applyNumberFormat="1" applyFont="1" applyFill="1"/>
    <xf numFmtId="0" fontId="16" fillId="0" borderId="0" xfId="0" applyFont="1"/>
    <xf numFmtId="0" fontId="25" fillId="0" borderId="0" xfId="0" applyFont="1"/>
    <xf numFmtId="0" fontId="0" fillId="0" borderId="0" xfId="43" applyNumberFormat="1" applyFont="1"/>
    <xf numFmtId="0" fontId="0" fillId="0" borderId="11" xfId="0" applyBorder="1"/>
    <xf numFmtId="0" fontId="26" fillId="0" borderId="0" xfId="0" applyFont="1" applyAlignment="1">
      <alignment horizontal="justify" vertical="center"/>
    </xf>
    <xf numFmtId="0" fontId="0" fillId="39" borderId="0" xfId="0" applyFill="1"/>
    <xf numFmtId="0" fontId="27" fillId="39" borderId="0" xfId="0" applyFont="1" applyFill="1"/>
    <xf numFmtId="0" fontId="0" fillId="39" borderId="0" xfId="0" applyFill="1" applyAlignment="1">
      <alignment horizontal="right"/>
    </xf>
    <xf numFmtId="0" fontId="14" fillId="39" borderId="0" xfId="0" applyFont="1" applyFill="1"/>
    <xf numFmtId="14" fontId="14" fillId="39" borderId="0" xfId="0" applyNumberFormat="1" applyFont="1" applyFill="1"/>
    <xf numFmtId="0" fontId="14" fillId="0" borderId="11" xfId="0" applyFont="1" applyBorder="1"/>
    <xf numFmtId="0" fontId="28" fillId="35" borderId="0" xfId="0" applyFont="1" applyFill="1"/>
    <xf numFmtId="0" fontId="28" fillId="0" borderId="0" xfId="0" applyFont="1"/>
    <xf numFmtId="0" fontId="22" fillId="0" borderId="0" xfId="46" applyNumberFormat="1" applyFont="1" applyFill="1" applyAlignment="1">
      <alignment horizontal="right"/>
    </xf>
    <xf numFmtId="3" fontId="0" fillId="0" borderId="11" xfId="0" applyNumberFormat="1" applyFill="1" applyBorder="1"/>
    <xf numFmtId="10" fontId="19" fillId="33" borderId="12" xfId="44" applyNumberFormat="1" applyFont="1" applyFill="1" applyBorder="1"/>
    <xf numFmtId="0" fontId="0" fillId="40" borderId="0" xfId="0" applyFill="1"/>
    <xf numFmtId="0" fontId="25" fillId="40" borderId="0" xfId="0" applyFont="1" applyFill="1"/>
    <xf numFmtId="0" fontId="0" fillId="0" borderId="0" xfId="0" applyAlignment="1">
      <alignment horizontal="right"/>
    </xf>
    <xf numFmtId="164" fontId="16" fillId="0" borderId="0" xfId="42" applyNumberFormat="1" applyFont="1"/>
    <xf numFmtId="0" fontId="21" fillId="34" borderId="0" xfId="0" applyNumberFormat="1" applyFont="1" applyFill="1" applyProtection="1"/>
    <xf numFmtId="0" fontId="0" fillId="0" borderId="0" xfId="0" applyNumberFormat="1" applyFont="1" applyProtection="1"/>
    <xf numFmtId="166" fontId="0" fillId="0" borderId="0" xfId="0" applyNumberFormat="1" applyFont="1" applyProtection="1"/>
    <xf numFmtId="0" fontId="20" fillId="0" borderId="0" xfId="0" applyNumberFormat="1" applyFont="1" applyProtection="1"/>
    <xf numFmtId="164" fontId="0" fillId="0" borderId="0" xfId="0" applyNumberFormat="1" applyFont="1" applyProtection="1"/>
    <xf numFmtId="0" fontId="21" fillId="34" borderId="11" xfId="0" applyNumberFormat="1" applyFont="1" applyFill="1" applyBorder="1"/>
    <xf numFmtId="164" fontId="21" fillId="34" borderId="11" xfId="0" applyNumberFormat="1" applyFont="1" applyFill="1" applyBorder="1"/>
    <xf numFmtId="3" fontId="0" fillId="0" borderId="0" xfId="0" applyNumberFormat="1"/>
    <xf numFmtId="0" fontId="21" fillId="34" borderId="11" xfId="0" applyNumberFormat="1" applyFont="1" applyFill="1" applyBorder="1" applyAlignment="1">
      <alignment horizontal="center"/>
    </xf>
    <xf numFmtId="0" fontId="18" fillId="0" borderId="16" xfId="0" applyFont="1" applyBorder="1"/>
    <xf numFmtId="0" fontId="16" fillId="0" borderId="17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164" fontId="16" fillId="0" borderId="0" xfId="42" applyNumberFormat="1" applyFont="1" applyBorder="1"/>
    <xf numFmtId="165" fontId="16" fillId="0" borderId="20" xfId="43" applyNumberFormat="1" applyFont="1" applyBorder="1"/>
    <xf numFmtId="164" fontId="0" fillId="0" borderId="0" xfId="42" applyNumberFormat="1" applyFont="1" applyBorder="1"/>
    <xf numFmtId="165" fontId="0" fillId="0" borderId="20" xfId="43" applyNumberFormat="1" applyFont="1" applyBorder="1"/>
    <xf numFmtId="164" fontId="16" fillId="0" borderId="22" xfId="42" applyNumberFormat="1" applyFont="1" applyBorder="1"/>
    <xf numFmtId="165" fontId="16" fillId="0" borderId="23" xfId="43" applyNumberFormat="1" applyFont="1" applyBorder="1"/>
    <xf numFmtId="0" fontId="28" fillId="0" borderId="11" xfId="0" applyFont="1" applyBorder="1"/>
    <xf numFmtId="0" fontId="28" fillId="0" borderId="0" xfId="0" applyFont="1" applyFill="1"/>
    <xf numFmtId="166" fontId="20" fillId="0" borderId="0" xfId="46" applyNumberFormat="1" applyFont="1"/>
    <xf numFmtId="3" fontId="21" fillId="34" borderId="11" xfId="0" applyNumberFormat="1" applyFont="1" applyFill="1" applyBorder="1" applyAlignment="1">
      <alignment wrapText="1"/>
    </xf>
    <xf numFmtId="0" fontId="16" fillId="0" borderId="0" xfId="0" applyFont="1" applyAlignment="1">
      <alignment horizontal="center" wrapText="1"/>
    </xf>
    <xf numFmtId="43" fontId="16" fillId="0" borderId="22" xfId="42" applyNumberFormat="1" applyFont="1" applyBorder="1"/>
    <xf numFmtId="0" fontId="21" fillId="34" borderId="15" xfId="0" applyNumberFormat="1" applyFont="1" applyFill="1" applyBorder="1" applyAlignment="1">
      <alignment horizontal="left"/>
    </xf>
    <xf numFmtId="0" fontId="21" fillId="34" borderId="14" xfId="0" applyNumberFormat="1" applyFont="1" applyFill="1" applyBorder="1" applyAlignment="1">
      <alignment horizontal="left"/>
    </xf>
    <xf numFmtId="43" fontId="16" fillId="0" borderId="0" xfId="42" applyNumberFormat="1" applyFont="1" applyBorder="1"/>
    <xf numFmtId="43" fontId="0" fillId="0" borderId="0" xfId="42" applyNumberFormat="1" applyFont="1" applyBorder="1"/>
    <xf numFmtId="14" fontId="0" fillId="0" borderId="0" xfId="0" applyNumberFormat="1"/>
    <xf numFmtId="169" fontId="21" fillId="34" borderId="0" xfId="0" applyNumberFormat="1" applyFont="1" applyFill="1" applyAlignment="1" applyProtection="1">
      <alignment wrapText="1"/>
    </xf>
    <xf numFmtId="0" fontId="21" fillId="34" borderId="14" xfId="0" applyNumberFormat="1" applyFont="1" applyFill="1" applyBorder="1" applyAlignment="1">
      <alignment horizontal="left"/>
    </xf>
    <xf numFmtId="43" fontId="0" fillId="0" borderId="0" xfId="42" applyNumberFormat="1" applyFont="1" applyFill="1" applyBorder="1"/>
    <xf numFmtId="0" fontId="0" fillId="0" borderId="0" xfId="0" applyBorder="1"/>
    <xf numFmtId="164" fontId="0" fillId="0" borderId="0" xfId="0" applyNumberFormat="1" applyBorder="1"/>
    <xf numFmtId="0" fontId="0" fillId="0" borderId="13" xfId="0" applyBorder="1"/>
    <xf numFmtId="164" fontId="0" fillId="0" borderId="13" xfId="0" applyNumberFormat="1" applyBorder="1"/>
    <xf numFmtId="0" fontId="21" fillId="34" borderId="0" xfId="0" applyNumberFormat="1" applyFont="1" applyFill="1" applyBorder="1" applyProtection="1"/>
    <xf numFmtId="169" fontId="21" fillId="34" borderId="0" xfId="0" applyNumberFormat="1" applyFont="1" applyFill="1" applyBorder="1" applyAlignment="1" applyProtection="1">
      <alignment wrapText="1"/>
    </xf>
    <xf numFmtId="166" fontId="0" fillId="0" borderId="0" xfId="0" applyNumberFormat="1" applyBorder="1"/>
    <xf numFmtId="166" fontId="0" fillId="0" borderId="13" xfId="0" applyNumberFormat="1" applyBorder="1"/>
    <xf numFmtId="0" fontId="25" fillId="0" borderId="0" xfId="0" applyFont="1" applyAlignment="1">
      <alignment wrapText="1"/>
    </xf>
    <xf numFmtId="44" fontId="0" fillId="0" borderId="0" xfId="43" applyFont="1"/>
    <xf numFmtId="44" fontId="0" fillId="0" borderId="0" xfId="43" applyFont="1" applyAlignment="1">
      <alignment horizontal="right" wrapText="1"/>
    </xf>
    <xf numFmtId="10" fontId="19" fillId="33" borderId="25" xfId="44" applyNumberFormat="1" applyFont="1" applyFill="1" applyBorder="1"/>
    <xf numFmtId="0" fontId="0" fillId="0" borderId="29" xfId="0" applyBorder="1"/>
    <xf numFmtId="0" fontId="0" fillId="0" borderId="30" xfId="0" applyBorder="1"/>
    <xf numFmtId="10" fontId="19" fillId="33" borderId="31" xfId="44" applyNumberFormat="1" applyFont="1" applyFill="1" applyBorder="1"/>
    <xf numFmtId="10" fontId="19" fillId="33" borderId="32" xfId="44" applyNumberFormat="1" applyFont="1" applyFill="1" applyBorder="1"/>
    <xf numFmtId="164" fontId="23" fillId="0" borderId="29" xfId="46" applyNumberFormat="1" applyFont="1" applyBorder="1"/>
    <xf numFmtId="164" fontId="23" fillId="0" borderId="0" xfId="46" applyNumberFormat="1" applyFont="1" applyBorder="1"/>
    <xf numFmtId="164" fontId="23" fillId="0" borderId="30" xfId="46" applyNumberFormat="1" applyFont="1" applyBorder="1"/>
    <xf numFmtId="166" fontId="20" fillId="0" borderId="29" xfId="46" applyNumberFormat="1" applyFont="1" applyBorder="1"/>
    <xf numFmtId="166" fontId="20" fillId="0" borderId="0" xfId="46" applyNumberFormat="1" applyFont="1" applyBorder="1"/>
    <xf numFmtId="166" fontId="20" fillId="0" borderId="30" xfId="46" applyNumberFormat="1" applyFont="1" applyBorder="1"/>
    <xf numFmtId="164" fontId="0" fillId="0" borderId="29" xfId="42" applyNumberFormat="1" applyFont="1" applyFill="1" applyBorder="1"/>
    <xf numFmtId="164" fontId="0" fillId="0" borderId="0" xfId="42" applyNumberFormat="1" applyFont="1" applyFill="1" applyBorder="1"/>
    <xf numFmtId="164" fontId="0" fillId="0" borderId="30" xfId="42" applyNumberFormat="1" applyFont="1" applyFill="1" applyBorder="1"/>
    <xf numFmtId="164" fontId="0" fillId="0" borderId="33" xfId="42" applyNumberFormat="1" applyFont="1" applyFill="1" applyBorder="1"/>
    <xf numFmtId="164" fontId="0" fillId="0" borderId="34" xfId="42" applyNumberFormat="1" applyFont="1" applyFill="1" applyBorder="1"/>
    <xf numFmtId="164" fontId="0" fillId="0" borderId="35" xfId="42" applyNumberFormat="1" applyFont="1" applyFill="1" applyBorder="1"/>
    <xf numFmtId="0" fontId="30" fillId="41" borderId="26" xfId="0" applyFont="1" applyFill="1" applyBorder="1"/>
    <xf numFmtId="0" fontId="29" fillId="41" borderId="27" xfId="0" applyFont="1" applyFill="1" applyBorder="1"/>
    <xf numFmtId="0" fontId="29" fillId="41" borderId="28" xfId="0" applyFont="1" applyFill="1" applyBorder="1"/>
    <xf numFmtId="3" fontId="0" fillId="0" borderId="29" xfId="0" applyNumberFormat="1" applyFill="1" applyBorder="1"/>
    <xf numFmtId="3" fontId="0" fillId="0" borderId="0" xfId="0" applyNumberFormat="1" applyFill="1" applyBorder="1"/>
    <xf numFmtId="3" fontId="0" fillId="0" borderId="33" xfId="0" applyNumberFormat="1" applyFill="1" applyBorder="1"/>
    <xf numFmtId="3" fontId="0" fillId="0" borderId="34" xfId="0" applyNumberFormat="1" applyFill="1" applyBorder="1"/>
    <xf numFmtId="0" fontId="30" fillId="42" borderId="26" xfId="0" applyFont="1" applyFill="1" applyBorder="1"/>
    <xf numFmtId="0" fontId="30" fillId="42" borderId="27" xfId="0" applyFont="1" applyFill="1" applyBorder="1"/>
    <xf numFmtId="0" fontId="30" fillId="42" borderId="28" xfId="0" applyFont="1" applyFill="1" applyBorder="1"/>
    <xf numFmtId="3" fontId="0" fillId="0" borderId="30" xfId="0" applyNumberFormat="1" applyFill="1" applyBorder="1"/>
    <xf numFmtId="3" fontId="0" fillId="0" borderId="35" xfId="0" applyNumberFormat="1" applyFill="1" applyBorder="1"/>
    <xf numFmtId="0" fontId="30" fillId="43" borderId="27" xfId="0" applyFont="1" applyFill="1" applyBorder="1"/>
    <xf numFmtId="0" fontId="30" fillId="43" borderId="28" xfId="0" applyFont="1" applyFill="1" applyBorder="1"/>
    <xf numFmtId="0" fontId="31" fillId="0" borderId="21" xfId="0" applyFont="1" applyBorder="1"/>
    <xf numFmtId="0" fontId="32" fillId="0" borderId="19" xfId="0" applyFont="1" applyBorder="1"/>
    <xf numFmtId="0" fontId="33" fillId="0" borderId="19" xfId="0" applyFont="1" applyBorder="1"/>
    <xf numFmtId="0" fontId="34" fillId="0" borderId="19" xfId="0" applyFont="1" applyBorder="1"/>
    <xf numFmtId="167" fontId="24" fillId="38" borderId="29" xfId="46" applyNumberFormat="1" applyFont="1" applyFill="1" applyBorder="1" applyAlignment="1">
      <alignment horizontal="center"/>
    </xf>
    <xf numFmtId="167" fontId="24" fillId="38" borderId="0" xfId="46" applyNumberFormat="1" applyFont="1" applyFill="1" applyBorder="1" applyAlignment="1">
      <alignment horizontal="center"/>
    </xf>
    <xf numFmtId="167" fontId="24" fillId="38" borderId="30" xfId="46" applyNumberFormat="1" applyFont="1" applyFill="1" applyBorder="1" applyAlignment="1">
      <alignment horizontal="center"/>
    </xf>
    <xf numFmtId="167" fontId="24" fillId="34" borderId="0" xfId="46" applyNumberFormat="1" applyFont="1" applyFill="1" applyBorder="1" applyAlignment="1">
      <alignment horizontal="center"/>
    </xf>
    <xf numFmtId="167" fontId="24" fillId="34" borderId="30" xfId="46" applyNumberFormat="1" applyFont="1" applyFill="1" applyBorder="1" applyAlignment="1">
      <alignment horizontal="center"/>
    </xf>
    <xf numFmtId="167" fontId="24" fillId="34" borderId="29" xfId="46" applyNumberFormat="1" applyFont="1" applyFill="1" applyBorder="1" applyAlignment="1">
      <alignment horizontal="center"/>
    </xf>
    <xf numFmtId="167" fontId="21" fillId="34" borderId="0" xfId="46" applyNumberFormat="1" applyFont="1" applyFill="1" applyAlignment="1">
      <alignment horizontal="center"/>
    </xf>
    <xf numFmtId="0" fontId="0" fillId="0" borderId="0" xfId="0" applyAlignment="1">
      <alignment horizontal="center"/>
    </xf>
    <xf numFmtId="167" fontId="24" fillId="34" borderId="0" xfId="46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67" fontId="24" fillId="0" borderId="0" xfId="46" applyNumberFormat="1" applyFont="1" applyFill="1" applyAlignment="1">
      <alignment horizontal="center"/>
    </xf>
    <xf numFmtId="0" fontId="21" fillId="34" borderId="0" xfId="46" applyNumberFormat="1" applyFont="1" applyFill="1" applyAlignment="1">
      <alignment horizontal="left"/>
    </xf>
    <xf numFmtId="43" fontId="0" fillId="0" borderId="0" xfId="0" applyNumberFormat="1"/>
    <xf numFmtId="0" fontId="21" fillId="34" borderId="14" xfId="0" applyNumberFormat="1" applyFont="1" applyFill="1" applyBorder="1" applyAlignment="1">
      <alignment horizontal="left"/>
    </xf>
    <xf numFmtId="0" fontId="21" fillId="34" borderId="14" xfId="0" applyNumberFormat="1" applyFont="1" applyFill="1" applyBorder="1" applyAlignment="1">
      <alignment horizontal="left"/>
    </xf>
    <xf numFmtId="167" fontId="24" fillId="44" borderId="0" xfId="46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0" fontId="17" fillId="0" borderId="0" xfId="0" applyFont="1"/>
    <xf numFmtId="0" fontId="17" fillId="0" borderId="0" xfId="0" quotePrefix="1" applyFont="1" applyFill="1"/>
    <xf numFmtId="0" fontId="17" fillId="0" borderId="0" xfId="0" quotePrefix="1" applyFont="1"/>
    <xf numFmtId="0" fontId="0" fillId="45" borderId="0" xfId="0" applyFill="1"/>
    <xf numFmtId="0" fontId="0" fillId="0" borderId="0" xfId="0" applyFill="1" applyAlignment="1">
      <alignment horizontal="left" wrapText="1"/>
    </xf>
    <xf numFmtId="0" fontId="21" fillId="34" borderId="15" xfId="0" applyNumberFormat="1" applyFont="1" applyFill="1" applyBorder="1" applyAlignment="1">
      <alignment horizontal="left"/>
    </xf>
    <xf numFmtId="0" fontId="21" fillId="34" borderId="14" xfId="0" applyNumberFormat="1" applyFont="1" applyFill="1" applyBorder="1" applyAlignment="1">
      <alignment horizontal="left"/>
    </xf>
    <xf numFmtId="0" fontId="35" fillId="45" borderId="24" xfId="0" applyNumberFormat="1" applyFont="1" applyFill="1" applyBorder="1" applyAlignment="1">
      <alignment horizontal="left"/>
    </xf>
    <xf numFmtId="0" fontId="35" fillId="45" borderId="0" xfId="0" applyNumberFormat="1" applyFont="1" applyFill="1" applyBorder="1" applyAlignment="1">
      <alignment horizontal="left"/>
    </xf>
    <xf numFmtId="0" fontId="21" fillId="34" borderId="24" xfId="0" applyNumberFormat="1" applyFont="1" applyFill="1" applyBorder="1" applyAlignment="1">
      <alignment horizontal="left"/>
    </xf>
    <xf numFmtId="0" fontId="21" fillId="34" borderId="0" xfId="0" applyNumberFormat="1" applyFont="1" applyFill="1" applyBorder="1" applyAlignment="1">
      <alignment horizontal="left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 xr:uid="{00000000-0005-0000-0000-000027000000}"/>
    <cellStyle name="Normal 3" xfId="46" xr:uid="{00000000-0005-0000-0000-000028000000}"/>
    <cellStyle name="Normal 3 2" xfId="47" xr:uid="{F78064FE-9DE0-4D69-A761-6B9ACF6F9114}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217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37950</xdr:colOff>
      <xdr:row>3</xdr:row>
      <xdr:rowOff>143574</xdr:rowOff>
    </xdr:from>
    <xdr:to>
      <xdr:col>5</xdr:col>
      <xdr:colOff>510820</xdr:colOff>
      <xdr:row>6</xdr:row>
      <xdr:rowOff>68543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59719D-27CC-4367-A3F0-CD2D00ADF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829" y="837752"/>
          <a:ext cx="3139471" cy="470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2:B11"/>
  <sheetViews>
    <sheetView tabSelected="1" zoomScaleNormal="100" zoomScaleSheetLayoutView="100" workbookViewId="0">
      <selection activeCell="A3" sqref="A3"/>
    </sheetView>
  </sheetViews>
  <sheetFormatPr defaultColWidth="9.140625" defaultRowHeight="15" x14ac:dyDescent="0.25"/>
  <cols>
    <col min="1" max="1" width="9.140625" style="17"/>
    <col min="2" max="2" width="9.85546875" style="17" bestFit="1" customWidth="1"/>
    <col min="3" max="16384" width="9.140625" style="17"/>
  </cols>
  <sheetData>
    <row r="2" spans="1:2" x14ac:dyDescent="0.25">
      <c r="B2" s="17" t="s">
        <v>81</v>
      </c>
    </row>
    <row r="3" spans="1:2" ht="26.45" customHeight="1" x14ac:dyDescent="0.45">
      <c r="A3" s="19" t="s">
        <v>32</v>
      </c>
      <c r="B3" s="18" t="s">
        <v>31</v>
      </c>
    </row>
    <row r="4" spans="1:2" x14ac:dyDescent="0.25">
      <c r="A4" s="19"/>
    </row>
    <row r="5" spans="1:2" x14ac:dyDescent="0.25">
      <c r="A5" s="19" t="s">
        <v>33</v>
      </c>
    </row>
    <row r="9" spans="1:2" x14ac:dyDescent="0.25">
      <c r="B9" s="20"/>
    </row>
    <row r="10" spans="1:2" x14ac:dyDescent="0.25">
      <c r="B10" s="20"/>
    </row>
    <row r="11" spans="1:2" x14ac:dyDescent="0.25">
      <c r="B11" s="21"/>
    </row>
  </sheetData>
  <pageMargins left="0.7" right="0.7" top="0.75" bottom="0.75" header="0.3" footer="0.3"/>
  <pageSetup orientation="landscape" r:id="rId1"/>
  <headerFooter>
    <oddFooter>&amp;C&amp;F: 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1:L13"/>
  <sheetViews>
    <sheetView zoomScaleNormal="100" zoomScaleSheetLayoutView="100" workbookViewId="0">
      <selection activeCell="J10" sqref="J10"/>
    </sheetView>
  </sheetViews>
  <sheetFormatPr defaultColWidth="9.140625" defaultRowHeight="15" x14ac:dyDescent="0.25"/>
  <cols>
    <col min="1" max="1" width="15.140625" style="33" customWidth="1"/>
    <col min="2" max="2" width="14.42578125" style="33" customWidth="1"/>
    <col min="3" max="6" width="12.85546875" style="33" customWidth="1"/>
    <col min="7" max="7" width="13.7109375" style="33" customWidth="1"/>
    <col min="8" max="8" width="12.85546875" style="33" customWidth="1"/>
    <col min="9" max="9" width="14.140625" style="33" customWidth="1"/>
    <col min="10" max="10" width="13.28515625" style="33" customWidth="1"/>
    <col min="11" max="11" width="13.140625" style="33" customWidth="1"/>
    <col min="12" max="12" width="13.7109375" style="33" customWidth="1"/>
    <col min="13" max="16384" width="9.140625" style="33"/>
  </cols>
  <sheetData>
    <row r="1" spans="1:12" customFormat="1" x14ac:dyDescent="0.25">
      <c r="A1" s="137" t="str">
        <f>"DR-4: TAP Discount ("&amp;TEXT(TRR_Summary!H2,"Mmmm D, YYYY")&amp;" - "&amp;TEXT('Data Source'!K2,"Mmmm D, YYYY")&amp;")"</f>
        <v>DR-4: TAP Discount (February 1, 2021 - December 31, 2021)</v>
      </c>
      <c r="B1" s="138"/>
      <c r="C1" s="138"/>
      <c r="D1" s="138"/>
      <c r="E1" s="138"/>
      <c r="F1" s="138"/>
      <c r="G1" s="131"/>
      <c r="H1" s="131"/>
      <c r="I1" s="131"/>
      <c r="J1" s="131"/>
      <c r="K1" s="131"/>
      <c r="L1" s="131"/>
    </row>
    <row r="2" spans="1:12" customFormat="1" x14ac:dyDescent="0.25">
      <c r="A2" s="56"/>
      <c r="B2" s="57">
        <v>2021</v>
      </c>
      <c r="C2" s="57">
        <v>2021</v>
      </c>
      <c r="D2" s="57">
        <v>2021</v>
      </c>
      <c r="E2" s="57">
        <v>2021</v>
      </c>
      <c r="F2" s="57">
        <v>2021</v>
      </c>
      <c r="G2" s="62">
        <v>2021</v>
      </c>
      <c r="H2" s="62">
        <v>2021</v>
      </c>
      <c r="I2" s="62">
        <v>2021</v>
      </c>
      <c r="J2" s="62">
        <v>2021</v>
      </c>
      <c r="K2" s="62">
        <v>2021</v>
      </c>
      <c r="L2" s="124">
        <v>2021</v>
      </c>
    </row>
    <row r="3" spans="1:12" customFormat="1" x14ac:dyDescent="0.25">
      <c r="A3" s="56"/>
      <c r="B3" s="57">
        <v>2</v>
      </c>
      <c r="C3" s="57">
        <v>3</v>
      </c>
      <c r="D3" s="57">
        <v>4</v>
      </c>
      <c r="E3" s="57">
        <v>5</v>
      </c>
      <c r="F3" s="57">
        <v>6</v>
      </c>
      <c r="G3" s="62">
        <v>7</v>
      </c>
      <c r="H3" s="62">
        <v>8</v>
      </c>
      <c r="I3" s="62">
        <v>9</v>
      </c>
      <c r="J3" s="62">
        <v>10</v>
      </c>
      <c r="K3" s="62">
        <v>11</v>
      </c>
      <c r="L3" s="124">
        <v>12</v>
      </c>
    </row>
    <row r="4" spans="1:12" ht="45" x14ac:dyDescent="0.25">
      <c r="A4" s="68" t="s">
        <v>14</v>
      </c>
      <c r="B4" s="69" t="str">
        <f t="shared" ref="B4:F4" si="0">TEXT(B3*29, "Mmmm")&amp;" "&amp;B2&amp;" Discount"</f>
        <v>February 2021 Discount</v>
      </c>
      <c r="C4" s="69" t="str">
        <f t="shared" si="0"/>
        <v>March 2021 Discount</v>
      </c>
      <c r="D4" s="69" t="str">
        <f t="shared" si="0"/>
        <v>April 2021 Discount</v>
      </c>
      <c r="E4" s="69" t="str">
        <f t="shared" si="0"/>
        <v>May 2021 Discount</v>
      </c>
      <c r="F4" s="69" t="str">
        <f t="shared" si="0"/>
        <v>June 2021 Discount</v>
      </c>
      <c r="G4" s="69" t="str">
        <f t="shared" ref="G4:K4" si="1">TEXT(G3*29, "Mmmm")&amp;" "&amp;G2&amp;" Discount"</f>
        <v>July 2021 Discount</v>
      </c>
      <c r="H4" s="69" t="str">
        <f t="shared" si="1"/>
        <v>August 2021 Discount</v>
      </c>
      <c r="I4" s="69" t="str">
        <f t="shared" si="1"/>
        <v>September 2021 Discount</v>
      </c>
      <c r="J4" s="69" t="str">
        <f t="shared" si="1"/>
        <v>October 2021 Discount</v>
      </c>
      <c r="K4" s="69" t="str">
        <f t="shared" si="1"/>
        <v>November 2021 Discount</v>
      </c>
      <c r="L4" s="69" t="str">
        <f t="shared" ref="L4" si="2">TEXT(L3*29, "Mmmm")&amp;" "&amp;L2&amp;" Discount"</f>
        <v>December 2021 Discount</v>
      </c>
    </row>
    <row r="5" spans="1:12" customFormat="1" x14ac:dyDescent="0.25">
      <c r="A5" s="64" t="s">
        <v>79</v>
      </c>
      <c r="B5" s="70">
        <v>124332.92</v>
      </c>
      <c r="C5" s="70">
        <v>124511.98</v>
      </c>
      <c r="D5" s="70">
        <v>140144.1</v>
      </c>
      <c r="E5" s="70">
        <v>120907.72</v>
      </c>
      <c r="F5" s="70">
        <v>121990.99</v>
      </c>
      <c r="G5" s="70">
        <v>137703.1</v>
      </c>
      <c r="H5" s="70">
        <v>138286.07</v>
      </c>
      <c r="I5" s="70">
        <v>145471.23000000001</v>
      </c>
      <c r="J5" s="70">
        <v>159704.85999999999</v>
      </c>
      <c r="K5" s="70">
        <v>135610.89000000001</v>
      </c>
      <c r="L5" s="70">
        <v>144885.66</v>
      </c>
    </row>
    <row r="6" spans="1:12" customFormat="1" x14ac:dyDescent="0.25">
      <c r="A6" s="64" t="s">
        <v>50</v>
      </c>
      <c r="B6" s="70">
        <v>0</v>
      </c>
      <c r="C6" s="70">
        <v>0</v>
      </c>
      <c r="D6" s="70">
        <v>0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70">
        <v>0</v>
      </c>
      <c r="K6" s="70">
        <v>0</v>
      </c>
      <c r="L6" s="70">
        <v>0</v>
      </c>
    </row>
    <row r="7" spans="1:12" customFormat="1" x14ac:dyDescent="0.25">
      <c r="A7" s="64" t="s">
        <v>51</v>
      </c>
      <c r="B7" s="70">
        <v>0</v>
      </c>
      <c r="C7" s="70">
        <v>0</v>
      </c>
      <c r="D7" s="70">
        <v>0</v>
      </c>
      <c r="E7" s="70">
        <v>0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0</v>
      </c>
    </row>
    <row r="8" spans="1:12" customFormat="1" x14ac:dyDescent="0.25">
      <c r="A8" s="66" t="s">
        <v>80</v>
      </c>
      <c r="B8" s="71">
        <v>620687.61</v>
      </c>
      <c r="C8" s="71">
        <v>632779.85</v>
      </c>
      <c r="D8" s="71">
        <v>676969.71</v>
      </c>
      <c r="E8" s="71">
        <v>584856.61</v>
      </c>
      <c r="F8" s="71">
        <v>629613.41</v>
      </c>
      <c r="G8" s="71">
        <v>696826.82</v>
      </c>
      <c r="H8" s="71">
        <v>675805.54</v>
      </c>
      <c r="I8" s="71">
        <v>690187.36</v>
      </c>
      <c r="J8" s="71">
        <v>778596.7</v>
      </c>
      <c r="K8" s="71">
        <v>700811.38</v>
      </c>
      <c r="L8" s="71">
        <v>679381.06</v>
      </c>
    </row>
    <row r="9" spans="1:12" x14ac:dyDescent="0.25">
      <c r="A9" s="35" t="s">
        <v>43</v>
      </c>
      <c r="B9" s="34">
        <f t="shared" ref="B9:K9" si="3">SUM(B5:B8)</f>
        <v>745020.53</v>
      </c>
      <c r="C9" s="34">
        <f t="shared" si="3"/>
        <v>757291.83</v>
      </c>
      <c r="D9" s="34">
        <f t="shared" si="3"/>
        <v>817113.80999999994</v>
      </c>
      <c r="E9" s="34">
        <f t="shared" si="3"/>
        <v>705764.33</v>
      </c>
      <c r="F9" s="34">
        <f t="shared" si="3"/>
        <v>751604.4</v>
      </c>
      <c r="G9" s="34">
        <f t="shared" si="3"/>
        <v>834529.91999999993</v>
      </c>
      <c r="H9" s="34">
        <f t="shared" si="3"/>
        <v>814091.6100000001</v>
      </c>
      <c r="I9" s="34">
        <f t="shared" si="3"/>
        <v>835658.59</v>
      </c>
      <c r="J9" s="34">
        <f t="shared" si="3"/>
        <v>938301.55999999994</v>
      </c>
      <c r="K9" s="34">
        <f t="shared" si="3"/>
        <v>836422.27</v>
      </c>
      <c r="L9" s="34">
        <f t="shared" ref="L9" si="4">SUM(L5:L8)</f>
        <v>824266.72000000009</v>
      </c>
    </row>
    <row r="10" spans="1:12" x14ac:dyDescent="0.25">
      <c r="B10" s="34"/>
      <c r="C10" s="34"/>
      <c r="D10" s="34"/>
      <c r="E10" s="34"/>
      <c r="F10" s="34"/>
    </row>
    <row r="11" spans="1:12" x14ac:dyDescent="0.25">
      <c r="B11" s="34"/>
      <c r="C11" s="34"/>
      <c r="D11" s="34"/>
      <c r="E11" s="34"/>
      <c r="F11" s="34"/>
    </row>
    <row r="12" spans="1:12" x14ac:dyDescent="0.25">
      <c r="A12" t="s">
        <v>65</v>
      </c>
      <c r="B12" s="36"/>
      <c r="C12" s="36"/>
      <c r="D12" s="36"/>
      <c r="E12" s="36"/>
      <c r="F12" s="36"/>
    </row>
    <row r="13" spans="1:12" x14ac:dyDescent="0.25">
      <c r="A13" s="33" t="s">
        <v>66</v>
      </c>
    </row>
  </sheetData>
  <mergeCells count="1">
    <mergeCell ref="A1:F1"/>
  </mergeCells>
  <pageMargins left="0.7" right="0.7" top="0.75" bottom="0.75" header="0.3" footer="0.3"/>
  <pageSetup scale="72" orientation="landscape" r:id="rId1"/>
  <headerFooter>
    <oddFooter>&amp;C&amp;F: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B10"/>
  <sheetViews>
    <sheetView view="pageBreakPreview" zoomScaleNormal="100" zoomScaleSheetLayoutView="100" workbookViewId="0">
      <selection activeCell="B16" sqref="B16"/>
    </sheetView>
  </sheetViews>
  <sheetFormatPr defaultColWidth="8.85546875" defaultRowHeight="15" x14ac:dyDescent="0.25"/>
  <cols>
    <col min="1" max="1" width="30.140625" customWidth="1"/>
    <col min="2" max="2" width="101.42578125" customWidth="1"/>
  </cols>
  <sheetData>
    <row r="1" spans="1:2" x14ac:dyDescent="0.25">
      <c r="A1" s="2" t="s">
        <v>23</v>
      </c>
      <c r="B1" s="2" t="s">
        <v>24</v>
      </c>
    </row>
    <row r="2" spans="1:2" x14ac:dyDescent="0.25">
      <c r="A2" t="s">
        <v>22</v>
      </c>
      <c r="B2" t="s">
        <v>25</v>
      </c>
    </row>
    <row r="3" spans="1:2" ht="28.5" customHeight="1" x14ac:dyDescent="0.25">
      <c r="A3" t="s">
        <v>93</v>
      </c>
      <c r="B3" s="126" t="s">
        <v>91</v>
      </c>
    </row>
    <row r="4" spans="1:2" x14ac:dyDescent="0.25">
      <c r="A4" t="s">
        <v>26</v>
      </c>
      <c r="B4" t="s">
        <v>27</v>
      </c>
    </row>
    <row r="5" spans="1:2" x14ac:dyDescent="0.25">
      <c r="A5" t="s">
        <v>94</v>
      </c>
      <c r="B5" s="126" t="s">
        <v>92</v>
      </c>
    </row>
    <row r="6" spans="1:2" x14ac:dyDescent="0.25">
      <c r="A6" t="s">
        <v>28</v>
      </c>
      <c r="B6" t="s">
        <v>29</v>
      </c>
    </row>
    <row r="7" spans="1:2" x14ac:dyDescent="0.25">
      <c r="A7" t="s">
        <v>34</v>
      </c>
      <c r="B7" s="16" t="s">
        <v>40</v>
      </c>
    </row>
    <row r="8" spans="1:2" x14ac:dyDescent="0.25">
      <c r="A8" t="s">
        <v>35</v>
      </c>
      <c r="B8" s="16" t="s">
        <v>41</v>
      </c>
    </row>
    <row r="9" spans="1:2" x14ac:dyDescent="0.25">
      <c r="A9" t="s">
        <v>36</v>
      </c>
      <c r="B9" s="16" t="s">
        <v>64</v>
      </c>
    </row>
    <row r="10" spans="1:2" x14ac:dyDescent="0.25">
      <c r="A10" t="s">
        <v>37</v>
      </c>
      <c r="B10" s="16" t="s">
        <v>30</v>
      </c>
    </row>
  </sheetData>
  <phoneticPr fontId="36" type="noConversion"/>
  <pageMargins left="0.7" right="0.7" top="0.75" bottom="0.75" header="0.3" footer="0.3"/>
  <pageSetup scale="74" orientation="landscape" r:id="rId1"/>
  <headerFooter>
    <oddFooter>&amp;C&amp;F: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I19"/>
  <sheetViews>
    <sheetView zoomScaleNormal="100" zoomScaleSheetLayoutView="80" workbookViewId="0">
      <selection activeCell="F5" sqref="F5"/>
    </sheetView>
  </sheetViews>
  <sheetFormatPr defaultColWidth="8.85546875" defaultRowHeight="15" x14ac:dyDescent="0.25"/>
  <cols>
    <col min="1" max="1" width="54.85546875" customWidth="1"/>
    <col min="2" max="2" width="16.7109375" customWidth="1"/>
    <col min="3" max="3" width="15.140625" customWidth="1"/>
    <col min="4" max="4" width="18.7109375" customWidth="1"/>
    <col min="5" max="6" width="16.140625" customWidth="1"/>
    <col min="7" max="7" width="12.28515625" bestFit="1" customWidth="1"/>
    <col min="8" max="8" width="17.42578125" customWidth="1"/>
  </cols>
  <sheetData>
    <row r="1" spans="1:9" x14ac:dyDescent="0.25">
      <c r="A1" s="2" t="s">
        <v>21</v>
      </c>
    </row>
    <row r="2" spans="1:9" x14ac:dyDescent="0.25">
      <c r="A2" s="12" t="s">
        <v>5</v>
      </c>
      <c r="B2" s="12" t="s">
        <v>6</v>
      </c>
      <c r="C2" s="12" t="s">
        <v>7</v>
      </c>
      <c r="F2" s="128" t="s">
        <v>70</v>
      </c>
      <c r="G2" s="128"/>
      <c r="H2" s="129" t="s">
        <v>89</v>
      </c>
      <c r="I2" s="130" t="s">
        <v>74</v>
      </c>
    </row>
    <row r="3" spans="1:9" x14ac:dyDescent="0.25">
      <c r="A3" t="str">
        <f>TRR_Assumptions!B2</f>
        <v>Subscription Projection</v>
      </c>
      <c r="B3" s="24" t="str">
        <f>TRR_Assumptions!C2</f>
        <v>Flat</v>
      </c>
      <c r="F3" s="128" t="s">
        <v>69</v>
      </c>
      <c r="G3" s="128" t="s">
        <v>0</v>
      </c>
      <c r="H3" s="130" t="s">
        <v>72</v>
      </c>
      <c r="I3" s="130" t="s">
        <v>76</v>
      </c>
    </row>
    <row r="4" spans="1:9" x14ac:dyDescent="0.25">
      <c r="A4" t="str">
        <f>TRR_Assumptions!B4</f>
        <v>Cost per participant</v>
      </c>
      <c r="B4" t="str">
        <f>TRR_Assumptions!C4</f>
        <v>Updated</v>
      </c>
      <c r="C4" s="14" t="str">
        <f>("Cost per bill of "&amp;"$"&amp;(ROUND(TRR_Assumptions!C6,2)))</f>
        <v>Cost per bill of $48.36</v>
      </c>
      <c r="F4" s="128" t="s">
        <v>69</v>
      </c>
      <c r="G4" s="128" t="s">
        <v>1</v>
      </c>
      <c r="H4" s="130" t="s">
        <v>90</v>
      </c>
      <c r="I4" s="130" t="s">
        <v>73</v>
      </c>
    </row>
    <row r="5" spans="1:9" ht="27" customHeight="1" x14ac:dyDescent="0.25">
      <c r="A5" t="str">
        <f>TRR_Assumptions!B8</f>
        <v>Consumption</v>
      </c>
      <c r="B5" t="str">
        <f>TRR_Assumptions!C8</f>
        <v>Actuals and flat</v>
      </c>
      <c r="C5" s="132" t="str">
        <f>"Consumption"&amp;" of "&amp;(ROUND(TRR_Assumptions!C10,0))&amp;" CF per customer per month and"&amp;" flat consumption over time"</f>
        <v>Consumption of 744 CF per customer per month and flat consumption over time</v>
      </c>
      <c r="D5" s="132"/>
      <c r="E5" s="132"/>
      <c r="F5" s="128" t="s">
        <v>71</v>
      </c>
      <c r="G5" s="128"/>
      <c r="H5" s="130" t="s">
        <v>77</v>
      </c>
      <c r="I5" s="130" t="s">
        <v>78</v>
      </c>
    </row>
    <row r="7" spans="1:9" ht="15.75" thickBot="1" x14ac:dyDescent="0.3"/>
    <row r="8" spans="1:9" ht="45" x14ac:dyDescent="0.25">
      <c r="A8" s="41"/>
      <c r="B8" s="42" t="s">
        <v>58</v>
      </c>
      <c r="C8" s="42" t="s">
        <v>59</v>
      </c>
      <c r="D8" s="43" t="s">
        <v>57</v>
      </c>
      <c r="E8" s="54" t="s">
        <v>55</v>
      </c>
      <c r="F8" s="54" t="s">
        <v>56</v>
      </c>
      <c r="I8" s="4"/>
    </row>
    <row r="9" spans="1:9" x14ac:dyDescent="0.25">
      <c r="A9" s="108" t="str">
        <f>F2&amp;" ("&amp;H2&amp;" to "&amp;I2&amp;")"</f>
        <v>Reconciled Period (February 2021 to August 2021)</v>
      </c>
      <c r="B9" s="58">
        <f>AVERAGE(TRR_Projections!B5:H5)</f>
        <v>16596</v>
      </c>
      <c r="C9" s="44">
        <f>SUM(TRR_Projections!B5:H5)</f>
        <v>116172</v>
      </c>
      <c r="D9" s="45">
        <f>SUM(TRR_Projections!B7:H7)</f>
        <v>5425416.4300000006</v>
      </c>
      <c r="E9" s="31">
        <f>SUM(TRR_Projections!B9:H9)</f>
        <v>853103</v>
      </c>
      <c r="F9" s="31">
        <f>SUM(TRR_Projections!B11:H11)</f>
        <v>852798</v>
      </c>
      <c r="G9" s="122"/>
      <c r="I9" s="4"/>
    </row>
    <row r="10" spans="1:9" x14ac:dyDescent="0.25">
      <c r="A10" s="109" t="str">
        <f>F3&amp;" - "&amp;G3&amp;" ("&amp;H3&amp;" to "&amp;I3&amp;")"</f>
        <v>Most Recent Period - Actual (September 2021 to December 2021)</v>
      </c>
      <c r="B10" s="59">
        <f>AVERAGE(TRR_Projections!I5:L5)</f>
        <v>16756.5</v>
      </c>
      <c r="C10" s="46">
        <f>SUM(TRR_Projections!I5:L5)</f>
        <v>67026</v>
      </c>
      <c r="D10" s="47">
        <f>SUM(TRR_Projections!I7:L7)</f>
        <v>3434649.14</v>
      </c>
      <c r="E10" s="1">
        <f>SUM(TRR_Projections!I9:L9)</f>
        <v>509967</v>
      </c>
      <c r="F10" s="1">
        <f>SUM(TRR_Projections!I11:L11)</f>
        <v>509851</v>
      </c>
      <c r="I10" s="4"/>
    </row>
    <row r="11" spans="1:9" x14ac:dyDescent="0.25">
      <c r="A11" s="109" t="str">
        <f>F4&amp;" - "&amp;G4&amp;" ("&amp;H4&amp;" to "&amp;I4&amp;")"</f>
        <v>Most Recent Period - Projected (January 2022 to August 2022)</v>
      </c>
      <c r="B11" s="63">
        <f>AVERAGE(TRR_Projections!M5:T5)</f>
        <v>17648</v>
      </c>
      <c r="C11" s="46">
        <f>SUM(TRR_Projections!M5:T5)</f>
        <v>141184</v>
      </c>
      <c r="D11" s="47">
        <f>SUM(TRR_Projections!M7:T7)</f>
        <v>6828128.5681878626</v>
      </c>
      <c r="E11" s="1">
        <f>SUM(TRR_Projections!M9:T9)</f>
        <v>1050468.2086048974</v>
      </c>
      <c r="F11" s="1">
        <f>SUM(TRR_Projections!M11:T11)</f>
        <v>1050468.2086048974</v>
      </c>
      <c r="I11" s="4"/>
    </row>
    <row r="12" spans="1:9" x14ac:dyDescent="0.25">
      <c r="A12" s="107" t="str">
        <f>F3&amp;" - Entire ("&amp;H3&amp;" to "&amp;I4&amp;")"</f>
        <v>Most Recent Period - Entire (September 2021 to August 2022)</v>
      </c>
      <c r="B12" s="58">
        <f>AVERAGE(TRR_Projections!I5:T5)</f>
        <v>17350.833333333332</v>
      </c>
      <c r="C12" s="44">
        <f>SUM(TRR_Projections!I5:T5)</f>
        <v>208210</v>
      </c>
      <c r="D12" s="45">
        <f>SUM(TRR_Projections!I7:T7)</f>
        <v>10262777.708187863</v>
      </c>
      <c r="E12" s="31">
        <f>SUM(TRR_Projections!I9:T9)</f>
        <v>1560435.2086048978</v>
      </c>
      <c r="F12" s="31">
        <f>SUM(TRR_Projections!I11:T11)</f>
        <v>1560319.2086048978</v>
      </c>
      <c r="I12" s="4"/>
    </row>
    <row r="13" spans="1:9" ht="15.75" thickBot="1" x14ac:dyDescent="0.3">
      <c r="A13" s="106" t="str">
        <f>F5&amp;" ("&amp;H5&amp;" to "&amp;I5&amp;")"</f>
        <v>Next Rate Period (September 2022 to August 2023)</v>
      </c>
      <c r="B13" s="55">
        <f>AVERAGE(TRR_Projections!U5:AF5)</f>
        <v>28731.333333333332</v>
      </c>
      <c r="C13" s="48">
        <f>SUM(TRR_Projections!U5:AF5)</f>
        <v>344776</v>
      </c>
      <c r="D13" s="49">
        <f>SUM(TRR_Projections!U7:AF7)</f>
        <v>16674515.91699866</v>
      </c>
      <c r="E13" s="31">
        <f>SUM(TRR_Projections!U9:AF9)</f>
        <v>2565278.1270537889</v>
      </c>
      <c r="F13" s="31">
        <f>SUM(TRR_Projections!U11:AF11)</f>
        <v>2565278.1270537889</v>
      </c>
      <c r="I13" s="4"/>
    </row>
    <row r="14" spans="1:9" x14ac:dyDescent="0.25">
      <c r="I14" s="4"/>
    </row>
    <row r="15" spans="1:9" x14ac:dyDescent="0.25">
      <c r="A15" s="4"/>
      <c r="B15" s="122"/>
    </row>
    <row r="16" spans="1:9" x14ac:dyDescent="0.25">
      <c r="A16" s="4"/>
      <c r="B16" s="122"/>
    </row>
    <row r="17" spans="1:2" x14ac:dyDescent="0.25">
      <c r="A17" s="4"/>
      <c r="B17" s="122"/>
    </row>
    <row r="18" spans="1:2" x14ac:dyDescent="0.25">
      <c r="A18" s="4"/>
      <c r="B18" s="122"/>
    </row>
    <row r="19" spans="1:2" x14ac:dyDescent="0.25">
      <c r="B19" s="122"/>
    </row>
  </sheetData>
  <mergeCells count="1">
    <mergeCell ref="C5:E5"/>
  </mergeCells>
  <pageMargins left="0.7" right="0.7" top="0.75" bottom="0.75" header="0.3" footer="0.3"/>
  <pageSetup scale="88" orientation="landscape" r:id="rId1"/>
  <headerFooter>
    <oddFooter>&amp;C&amp;F: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B1:I14"/>
  <sheetViews>
    <sheetView view="pageBreakPreview" zoomScaleNormal="100" zoomScaleSheetLayoutView="100" workbookViewId="0">
      <selection activeCell="E6" sqref="E6"/>
    </sheetView>
  </sheetViews>
  <sheetFormatPr defaultColWidth="8.85546875" defaultRowHeight="15" x14ac:dyDescent="0.25"/>
  <cols>
    <col min="1" max="1" width="5.140625" customWidth="1"/>
    <col min="2" max="2" width="45.85546875" customWidth="1"/>
    <col min="3" max="3" width="22.42578125" customWidth="1"/>
    <col min="4" max="4" width="11.5703125" bestFit="1" customWidth="1"/>
  </cols>
  <sheetData>
    <row r="1" spans="2:9" x14ac:dyDescent="0.25">
      <c r="C1" s="12" t="s">
        <v>4</v>
      </c>
    </row>
    <row r="2" spans="2:9" x14ac:dyDescent="0.25">
      <c r="B2" s="13" t="s">
        <v>2</v>
      </c>
      <c r="C2" s="23" t="s">
        <v>54</v>
      </c>
    </row>
    <row r="3" spans="2:9" x14ac:dyDescent="0.25">
      <c r="B3" s="13"/>
    </row>
    <row r="4" spans="2:9" x14ac:dyDescent="0.25">
      <c r="B4" s="13" t="s">
        <v>38</v>
      </c>
      <c r="C4" s="5" t="s">
        <v>20</v>
      </c>
    </row>
    <row r="5" spans="2:9" x14ac:dyDescent="0.25">
      <c r="B5" s="13"/>
    </row>
    <row r="6" spans="2:9" ht="30" x14ac:dyDescent="0.25">
      <c r="B6" s="72" t="s">
        <v>83</v>
      </c>
      <c r="C6" s="8">
        <f>SUM(TRR_Summary!D9:D10)/SUM(TRR_Summary!C9:C10)</f>
        <v>48.36333131366063</v>
      </c>
      <c r="D6" s="74"/>
      <c r="E6" s="73"/>
    </row>
    <row r="7" spans="2:9" x14ac:dyDescent="0.25">
      <c r="B7" s="13"/>
      <c r="D7" s="30"/>
    </row>
    <row r="8" spans="2:9" x14ac:dyDescent="0.25">
      <c r="B8" s="13" t="s">
        <v>3</v>
      </c>
      <c r="C8" s="10" t="s">
        <v>42</v>
      </c>
      <c r="D8" s="30"/>
    </row>
    <row r="9" spans="2:9" x14ac:dyDescent="0.25">
      <c r="B9" s="13"/>
      <c r="D9" s="30"/>
    </row>
    <row r="10" spans="2:9" ht="45" x14ac:dyDescent="0.25">
      <c r="B10" s="72" t="s">
        <v>84</v>
      </c>
      <c r="C10" s="9">
        <f>SUM(TRR_Summary!E9:E10)/SUM(TRR_Summary!C9:C10)*100</f>
        <v>744.04196552364112</v>
      </c>
      <c r="D10" s="74"/>
      <c r="E10" s="6"/>
      <c r="F10" s="6"/>
      <c r="G10" s="6"/>
      <c r="H10" s="6"/>
      <c r="I10" s="6"/>
    </row>
    <row r="11" spans="2:9" s="28" customFormat="1" x14ac:dyDescent="0.25">
      <c r="B11" s="29"/>
    </row>
    <row r="12" spans="2:9" s="28" customFormat="1" x14ac:dyDescent="0.25">
      <c r="B12" s="29"/>
    </row>
    <row r="13" spans="2:9" s="28" customFormat="1" x14ac:dyDescent="0.25">
      <c r="B13" s="29"/>
    </row>
    <row r="14" spans="2:9" x14ac:dyDescent="0.25">
      <c r="B14" s="6"/>
      <c r="C14" s="6"/>
    </row>
  </sheetData>
  <dataValidations count="3">
    <dataValidation type="list" allowBlank="1" showDropDown="1" showInputMessage="1" showErrorMessage="1" promptTitle="Cost or discount per TAP bill" sqref="C4" xr:uid="{00000000-0002-0000-0300-000000000000}">
      <formula1>"Updated"</formula1>
    </dataValidation>
    <dataValidation type="list" allowBlank="1" showDropDown="1" showInputMessage="1" showErrorMessage="1" promptTitle="Consumption averages and pattern" sqref="C8" xr:uid="{00000000-0002-0000-0300-000001000000}">
      <formula1>"Actuals and flat"</formula1>
    </dataValidation>
    <dataValidation allowBlank="1" showDropDown="1" showInputMessage="1" showErrorMessage="1" promptTitle="Rate of increase" sqref="C2" xr:uid="{00000000-0002-0000-0300-000002000000}"/>
  </dataValidations>
  <pageMargins left="0.7" right="0.7" top="0.75" bottom="0.75" header="0.3" footer="0.3"/>
  <pageSetup orientation="landscape" r:id="rId1"/>
  <headerFooter>
    <oddFooter>&amp;C&amp;F: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2DB6B-4B5C-4AE8-B580-84DCA47477BE}">
  <sheetPr>
    <tabColor theme="9"/>
  </sheetPr>
  <dimension ref="A1:AG19"/>
  <sheetViews>
    <sheetView showGridLines="0" zoomScaleNormal="100" zoomScaleSheetLayoutView="100" zoomScalePageLayoutView="30" workbookViewId="0">
      <selection activeCell="D23" sqref="D23"/>
    </sheetView>
  </sheetViews>
  <sheetFormatPr defaultColWidth="8.85546875" defaultRowHeight="15" x14ac:dyDescent="0.25"/>
  <cols>
    <col min="1" max="1" width="36" customWidth="1"/>
    <col min="2" max="2" width="12.42578125" customWidth="1"/>
    <col min="3" max="5" width="12.42578125" bestFit="1" customWidth="1"/>
    <col min="6" max="6" width="12.42578125" customWidth="1"/>
    <col min="7" max="7" width="13.140625" customWidth="1"/>
    <col min="8" max="8" width="12.42578125" customWidth="1"/>
    <col min="9" max="12" width="13.140625" customWidth="1"/>
    <col min="13" max="13" width="14.140625" customWidth="1"/>
    <col min="14" max="20" width="13.140625" customWidth="1"/>
    <col min="21" max="21" width="17.7109375" bestFit="1" customWidth="1"/>
    <col min="22" max="32" width="14.28515625" bestFit="1" customWidth="1"/>
    <col min="33" max="33" width="23" customWidth="1"/>
  </cols>
  <sheetData>
    <row r="1" spans="1:33" x14ac:dyDescent="0.25">
      <c r="B1" s="104" t="s">
        <v>88</v>
      </c>
      <c r="C1" s="104"/>
      <c r="D1" s="104"/>
      <c r="E1" s="104"/>
      <c r="F1" s="104"/>
      <c r="G1" s="104"/>
      <c r="H1" s="105"/>
      <c r="I1" s="99" t="s">
        <v>87</v>
      </c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1"/>
      <c r="U1" s="92" t="s">
        <v>86</v>
      </c>
      <c r="V1" s="93"/>
      <c r="W1" s="93"/>
      <c r="X1" s="93"/>
      <c r="Y1" s="93"/>
      <c r="Z1" s="93"/>
      <c r="AA1" s="93"/>
      <c r="AB1" s="93"/>
      <c r="AC1" s="93"/>
      <c r="AD1" s="93"/>
      <c r="AE1" s="93"/>
      <c r="AF1" s="94"/>
    </row>
    <row r="2" spans="1:33" x14ac:dyDescent="0.25">
      <c r="A2" t="s">
        <v>19</v>
      </c>
      <c r="B2" s="76" t="s">
        <v>0</v>
      </c>
      <c r="C2" s="64" t="s">
        <v>0</v>
      </c>
      <c r="D2" s="64" t="s">
        <v>0</v>
      </c>
      <c r="E2" s="64" t="s">
        <v>0</v>
      </c>
      <c r="F2" s="64" t="s">
        <v>0</v>
      </c>
      <c r="G2" s="64" t="s">
        <v>0</v>
      </c>
      <c r="H2" s="77" t="s">
        <v>0</v>
      </c>
      <c r="I2" s="76" t="s">
        <v>0</v>
      </c>
      <c r="J2" s="64" t="s">
        <v>0</v>
      </c>
      <c r="K2" s="64" t="s">
        <v>0</v>
      </c>
      <c r="L2" s="64" t="s">
        <v>0</v>
      </c>
      <c r="M2" s="64" t="s">
        <v>1</v>
      </c>
      <c r="N2" s="64" t="s">
        <v>1</v>
      </c>
      <c r="O2" s="64" t="s">
        <v>1</v>
      </c>
      <c r="P2" s="64" t="s">
        <v>1</v>
      </c>
      <c r="Q2" s="64" t="s">
        <v>1</v>
      </c>
      <c r="R2" s="64" t="s">
        <v>1</v>
      </c>
      <c r="S2" s="64" t="s">
        <v>1</v>
      </c>
      <c r="T2" s="77" t="s">
        <v>1</v>
      </c>
      <c r="U2" s="76" t="s">
        <v>1</v>
      </c>
      <c r="V2" s="64" t="s">
        <v>1</v>
      </c>
      <c r="W2" s="64" t="s">
        <v>1</v>
      </c>
      <c r="X2" s="64" t="s">
        <v>1</v>
      </c>
      <c r="Y2" s="64" t="s">
        <v>1</v>
      </c>
      <c r="Z2" s="64" t="s">
        <v>1</v>
      </c>
      <c r="AA2" s="64" t="s">
        <v>1</v>
      </c>
      <c r="AB2" s="64" t="s">
        <v>1</v>
      </c>
      <c r="AC2" s="64" t="s">
        <v>1</v>
      </c>
      <c r="AD2" s="64" t="s">
        <v>1</v>
      </c>
      <c r="AE2" s="64" t="s">
        <v>1</v>
      </c>
      <c r="AF2" s="77" t="s">
        <v>1</v>
      </c>
      <c r="AG2" t="s">
        <v>85</v>
      </c>
    </row>
    <row r="3" spans="1:33" x14ac:dyDescent="0.25">
      <c r="A3" s="3" t="s">
        <v>15</v>
      </c>
      <c r="B3" s="78"/>
      <c r="C3" s="3"/>
      <c r="D3" s="3"/>
      <c r="E3" s="3"/>
      <c r="F3" s="3"/>
      <c r="G3" s="27"/>
      <c r="H3" s="79"/>
      <c r="I3" s="78"/>
      <c r="J3" s="3"/>
      <c r="K3" s="3"/>
      <c r="L3" s="3"/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f>1000/R5</f>
        <v>5.8315838581758803E-2</v>
      </c>
      <c r="T3" s="3">
        <f>2000/S5</f>
        <v>0.11020498126515318</v>
      </c>
      <c r="U3" s="3">
        <f>2250/T5</f>
        <v>0.11167361524717094</v>
      </c>
      <c r="V3" s="3">
        <f>3500/U5</f>
        <v>0.15626395213858379</v>
      </c>
      <c r="W3" s="3">
        <f>3750/V5</f>
        <v>0.14479882616418258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79">
        <v>0</v>
      </c>
      <c r="AG3" s="75">
        <v>0</v>
      </c>
    </row>
    <row r="4" spans="1:33" s="117" customFormat="1" x14ac:dyDescent="0.25">
      <c r="A4" s="121" t="s">
        <v>44</v>
      </c>
      <c r="B4" s="110">
        <v>44228</v>
      </c>
      <c r="C4" s="111">
        <v>44256</v>
      </c>
      <c r="D4" s="111">
        <v>44287</v>
      </c>
      <c r="E4" s="111">
        <v>44317</v>
      </c>
      <c r="F4" s="111">
        <v>44348</v>
      </c>
      <c r="G4" s="111">
        <v>44378</v>
      </c>
      <c r="H4" s="112">
        <v>44409</v>
      </c>
      <c r="I4" s="110">
        <v>44440</v>
      </c>
      <c r="J4" s="111">
        <v>44470</v>
      </c>
      <c r="K4" s="111">
        <v>44501</v>
      </c>
      <c r="L4" s="125">
        <v>44531</v>
      </c>
      <c r="M4" s="113">
        <v>44562</v>
      </c>
      <c r="N4" s="113">
        <v>44593</v>
      </c>
      <c r="O4" s="113">
        <v>44621</v>
      </c>
      <c r="P4" s="113">
        <v>44652</v>
      </c>
      <c r="Q4" s="113">
        <v>44682</v>
      </c>
      <c r="R4" s="113">
        <v>44713</v>
      </c>
      <c r="S4" s="113">
        <v>44743</v>
      </c>
      <c r="T4" s="114">
        <v>44774</v>
      </c>
      <c r="U4" s="115">
        <v>44805</v>
      </c>
      <c r="V4" s="113">
        <v>44835</v>
      </c>
      <c r="W4" s="113">
        <v>44866</v>
      </c>
      <c r="X4" s="113">
        <v>44896</v>
      </c>
      <c r="Y4" s="113">
        <v>44927</v>
      </c>
      <c r="Z4" s="113">
        <v>44958</v>
      </c>
      <c r="AA4" s="113">
        <v>44986</v>
      </c>
      <c r="AB4" s="113">
        <v>45017</v>
      </c>
      <c r="AC4" s="113">
        <v>45047</v>
      </c>
      <c r="AD4" s="113">
        <v>45078</v>
      </c>
      <c r="AE4" s="113">
        <v>45108</v>
      </c>
      <c r="AF4" s="114">
        <v>45139</v>
      </c>
      <c r="AG4" s="116" t="s">
        <v>82</v>
      </c>
    </row>
    <row r="5" spans="1:33" s="6" customFormat="1" ht="15.75" thickBot="1" x14ac:dyDescent="0.3">
      <c r="A5" s="25" t="s">
        <v>16</v>
      </c>
      <c r="B5" s="80">
        <f>'DR_3A Participants'!B9</f>
        <v>15810</v>
      </c>
      <c r="C5" s="81">
        <f>'DR_3A Participants'!C9</f>
        <v>16670</v>
      </c>
      <c r="D5" s="81">
        <f>'DR_3A Participants'!D9</f>
        <v>16737</v>
      </c>
      <c r="E5" s="81">
        <f>'DR_3A Participants'!E9</f>
        <v>16766</v>
      </c>
      <c r="F5" s="81">
        <f>'DR_3A Participants'!F9</f>
        <v>16725</v>
      </c>
      <c r="G5" s="81">
        <f>'DR_3A Participants'!G9</f>
        <v>16762</v>
      </c>
      <c r="H5" s="82">
        <f>'DR_3A Participants'!H9</f>
        <v>16702</v>
      </c>
      <c r="I5" s="80">
        <f>'DR_3A Participants'!I9</f>
        <v>15852</v>
      </c>
      <c r="J5" s="81">
        <f>'DR_3A Participants'!J9</f>
        <v>16998</v>
      </c>
      <c r="K5" s="81">
        <f>'DR_3A Participants'!K9</f>
        <v>17028</v>
      </c>
      <c r="L5" s="81">
        <f>'DR_3A Participants'!L9</f>
        <v>17148</v>
      </c>
      <c r="M5" s="81">
        <f t="shared" ref="M5:AF5" si="0">INT(L5+(M$3*L5))</f>
        <v>17148</v>
      </c>
      <c r="N5" s="81">
        <f>INT(M5+(N$3*M5))</f>
        <v>17148</v>
      </c>
      <c r="O5" s="81">
        <f>INT(M5+(O$3*M5))</f>
        <v>17148</v>
      </c>
      <c r="P5" s="81">
        <f t="shared" si="0"/>
        <v>17148</v>
      </c>
      <c r="Q5" s="81">
        <f t="shared" si="0"/>
        <v>17148</v>
      </c>
      <c r="R5" s="81">
        <f t="shared" si="0"/>
        <v>17148</v>
      </c>
      <c r="S5" s="81">
        <f>INT(R5+(1000))</f>
        <v>18148</v>
      </c>
      <c r="T5" s="81">
        <f>INT(S5+(2000))</f>
        <v>20148</v>
      </c>
      <c r="U5" s="89">
        <f>INT(T5+(2250))</f>
        <v>22398</v>
      </c>
      <c r="V5" s="81">
        <f>INT(U5+(3500))</f>
        <v>25898</v>
      </c>
      <c r="W5" s="81">
        <f>INT(V5+(3750))</f>
        <v>29648</v>
      </c>
      <c r="X5" s="81">
        <f t="shared" si="0"/>
        <v>29648</v>
      </c>
      <c r="Y5" s="81">
        <f t="shared" si="0"/>
        <v>29648</v>
      </c>
      <c r="Z5" s="81">
        <f t="shared" si="0"/>
        <v>29648</v>
      </c>
      <c r="AA5" s="81">
        <f t="shared" si="0"/>
        <v>29648</v>
      </c>
      <c r="AB5" s="81">
        <f t="shared" si="0"/>
        <v>29648</v>
      </c>
      <c r="AC5" s="81">
        <f t="shared" si="0"/>
        <v>29648</v>
      </c>
      <c r="AD5" s="81">
        <f t="shared" si="0"/>
        <v>29648</v>
      </c>
      <c r="AE5" s="81">
        <f t="shared" si="0"/>
        <v>29648</v>
      </c>
      <c r="AF5" s="82">
        <f t="shared" si="0"/>
        <v>29648</v>
      </c>
      <c r="AG5" s="7">
        <f>AVERAGE(U5:AF5)</f>
        <v>28731.333333333332</v>
      </c>
    </row>
    <row r="6" spans="1:33" s="119" customFormat="1" x14ac:dyDescent="0.25">
      <c r="A6" s="121" t="s">
        <v>45</v>
      </c>
      <c r="B6" s="110">
        <f>B4</f>
        <v>44228</v>
      </c>
      <c r="C6" s="111">
        <f t="shared" ref="C6:AF6" si="1">C4</f>
        <v>44256</v>
      </c>
      <c r="D6" s="111">
        <f t="shared" si="1"/>
        <v>44287</v>
      </c>
      <c r="E6" s="111">
        <f t="shared" si="1"/>
        <v>44317</v>
      </c>
      <c r="F6" s="111">
        <f t="shared" si="1"/>
        <v>44348</v>
      </c>
      <c r="G6" s="111">
        <f t="shared" si="1"/>
        <v>44378</v>
      </c>
      <c r="H6" s="112">
        <f t="shared" si="1"/>
        <v>44409</v>
      </c>
      <c r="I6" s="110">
        <f t="shared" si="1"/>
        <v>44440</v>
      </c>
      <c r="J6" s="111">
        <f t="shared" si="1"/>
        <v>44470</v>
      </c>
      <c r="K6" s="111">
        <f t="shared" si="1"/>
        <v>44501</v>
      </c>
      <c r="L6" s="125">
        <f t="shared" si="1"/>
        <v>44531</v>
      </c>
      <c r="M6" s="113">
        <f t="shared" si="1"/>
        <v>44562</v>
      </c>
      <c r="N6" s="113">
        <f t="shared" si="1"/>
        <v>44593</v>
      </c>
      <c r="O6" s="113">
        <f t="shared" si="1"/>
        <v>44621</v>
      </c>
      <c r="P6" s="113">
        <f t="shared" si="1"/>
        <v>44652</v>
      </c>
      <c r="Q6" s="113">
        <f t="shared" si="1"/>
        <v>44682</v>
      </c>
      <c r="R6" s="113">
        <f t="shared" si="1"/>
        <v>44713</v>
      </c>
      <c r="S6" s="113">
        <f t="shared" si="1"/>
        <v>44743</v>
      </c>
      <c r="T6" s="114">
        <f t="shared" si="1"/>
        <v>44774</v>
      </c>
      <c r="U6" s="115">
        <f t="shared" si="1"/>
        <v>44805</v>
      </c>
      <c r="V6" s="113">
        <f t="shared" si="1"/>
        <v>44835</v>
      </c>
      <c r="W6" s="113">
        <f t="shared" si="1"/>
        <v>44866</v>
      </c>
      <c r="X6" s="113">
        <f t="shared" si="1"/>
        <v>44896</v>
      </c>
      <c r="Y6" s="113">
        <f t="shared" si="1"/>
        <v>44927</v>
      </c>
      <c r="Z6" s="113">
        <f t="shared" si="1"/>
        <v>44958</v>
      </c>
      <c r="AA6" s="113">
        <f t="shared" si="1"/>
        <v>44986</v>
      </c>
      <c r="AB6" s="113">
        <f t="shared" si="1"/>
        <v>45017</v>
      </c>
      <c r="AC6" s="113">
        <f t="shared" si="1"/>
        <v>45047</v>
      </c>
      <c r="AD6" s="113">
        <f t="shared" si="1"/>
        <v>45078</v>
      </c>
      <c r="AE6" s="113">
        <f t="shared" si="1"/>
        <v>45108</v>
      </c>
      <c r="AF6" s="114">
        <f t="shared" si="1"/>
        <v>45139</v>
      </c>
      <c r="AG6" s="118" t="str">
        <f>AG4</f>
        <v>Sept 2022 - Aug 2023</v>
      </c>
    </row>
    <row r="7" spans="1:33" s="51" customFormat="1" x14ac:dyDescent="0.25">
      <c r="A7" s="25" t="s">
        <v>17</v>
      </c>
      <c r="B7" s="83">
        <f>DR_4!B9</f>
        <v>745020.53</v>
      </c>
      <c r="C7" s="84">
        <f>DR_4!C9</f>
        <v>757291.83</v>
      </c>
      <c r="D7" s="84">
        <f>DR_4!D9</f>
        <v>817113.80999999994</v>
      </c>
      <c r="E7" s="84">
        <f>DR_4!E9</f>
        <v>705764.33</v>
      </c>
      <c r="F7" s="84">
        <f>DR_4!F9</f>
        <v>751604.4</v>
      </c>
      <c r="G7" s="84">
        <f>DR_4!G9</f>
        <v>834529.91999999993</v>
      </c>
      <c r="H7" s="85">
        <f>DR_4!H9</f>
        <v>814091.6100000001</v>
      </c>
      <c r="I7" s="83">
        <f>DR_4!I9</f>
        <v>835658.59</v>
      </c>
      <c r="J7" s="84">
        <f>DR_4!J9</f>
        <v>938301.55999999994</v>
      </c>
      <c r="K7" s="84">
        <f>DR_4!K9</f>
        <v>836422.27</v>
      </c>
      <c r="L7" s="84">
        <f>DR_4!L9</f>
        <v>824266.72000000009</v>
      </c>
      <c r="M7" s="84">
        <f>TRR_Assumptions!$C$6*M5</f>
        <v>829334.40536665253</v>
      </c>
      <c r="N7" s="84">
        <f>TRR_Assumptions!$C$6*N5</f>
        <v>829334.40536665253</v>
      </c>
      <c r="O7" s="84">
        <f>TRR_Assumptions!$C$6*O5</f>
        <v>829334.40536665253</v>
      </c>
      <c r="P7" s="84">
        <f>TRR_Assumptions!$C$6*P5</f>
        <v>829334.40536665253</v>
      </c>
      <c r="Q7" s="84">
        <f>TRR_Assumptions!$C$6*Q5</f>
        <v>829334.40536665253</v>
      </c>
      <c r="R7" s="84">
        <f>TRR_Assumptions!$C$6*R5</f>
        <v>829334.40536665253</v>
      </c>
      <c r="S7" s="84">
        <f>TRR_Assumptions!$C$6*S5</f>
        <v>877697.73668031313</v>
      </c>
      <c r="T7" s="85">
        <f>TRR_Assumptions!$C$6*T5</f>
        <v>974424.39930763433</v>
      </c>
      <c r="U7" s="83">
        <f>TRR_Assumptions!$C$6*U5</f>
        <v>1083241.8947633707</v>
      </c>
      <c r="V7" s="84">
        <f>TRR_Assumptions!$C$6*V5</f>
        <v>1252513.554361183</v>
      </c>
      <c r="W7" s="84">
        <f>TRR_Assumptions!$C$6*W5</f>
        <v>1433876.0467874103</v>
      </c>
      <c r="X7" s="84">
        <f>TRR_Assumptions!$C$6*X5</f>
        <v>1433876.0467874103</v>
      </c>
      <c r="Y7" s="84">
        <f>TRR_Assumptions!$C$6*Y5</f>
        <v>1433876.0467874103</v>
      </c>
      <c r="Z7" s="84">
        <f>TRR_Assumptions!$C$6*Z5</f>
        <v>1433876.0467874103</v>
      </c>
      <c r="AA7" s="84">
        <f>TRR_Assumptions!$C$6*AA5</f>
        <v>1433876.0467874103</v>
      </c>
      <c r="AB7" s="84">
        <f>TRR_Assumptions!$C$6*AB5</f>
        <v>1433876.0467874103</v>
      </c>
      <c r="AC7" s="84">
        <f>TRR_Assumptions!$C$6*AC5</f>
        <v>1433876.0467874103</v>
      </c>
      <c r="AD7" s="84">
        <f>TRR_Assumptions!$C$6*AD5</f>
        <v>1433876.0467874103</v>
      </c>
      <c r="AE7" s="84">
        <f>TRR_Assumptions!$C$6*AE5</f>
        <v>1433876.0467874103</v>
      </c>
      <c r="AF7" s="85">
        <f>TRR_Assumptions!$C$6*AF5</f>
        <v>1433876.0467874103</v>
      </c>
      <c r="AG7" s="52">
        <f>TRR_Assumptions!$C$6*AG5*12</f>
        <v>16674515.916998656</v>
      </c>
    </row>
    <row r="8" spans="1:33" s="119" customFormat="1" x14ac:dyDescent="0.25">
      <c r="A8" s="121" t="s">
        <v>46</v>
      </c>
      <c r="B8" s="110">
        <f>B6</f>
        <v>44228</v>
      </c>
      <c r="C8" s="111">
        <f t="shared" ref="C8:AF8" si="2">C6</f>
        <v>44256</v>
      </c>
      <c r="D8" s="111">
        <f t="shared" si="2"/>
        <v>44287</v>
      </c>
      <c r="E8" s="111">
        <f t="shared" si="2"/>
        <v>44317</v>
      </c>
      <c r="F8" s="111">
        <f t="shared" si="2"/>
        <v>44348</v>
      </c>
      <c r="G8" s="111">
        <f t="shared" si="2"/>
        <v>44378</v>
      </c>
      <c r="H8" s="112">
        <f t="shared" si="2"/>
        <v>44409</v>
      </c>
      <c r="I8" s="110">
        <f t="shared" si="2"/>
        <v>44440</v>
      </c>
      <c r="J8" s="111">
        <f t="shared" si="2"/>
        <v>44470</v>
      </c>
      <c r="K8" s="111">
        <f t="shared" si="2"/>
        <v>44501</v>
      </c>
      <c r="L8" s="125">
        <f t="shared" si="2"/>
        <v>44531</v>
      </c>
      <c r="M8" s="113">
        <f t="shared" si="2"/>
        <v>44562</v>
      </c>
      <c r="N8" s="113">
        <f t="shared" si="2"/>
        <v>44593</v>
      </c>
      <c r="O8" s="113">
        <f t="shared" si="2"/>
        <v>44621</v>
      </c>
      <c r="P8" s="113">
        <f t="shared" si="2"/>
        <v>44652</v>
      </c>
      <c r="Q8" s="113">
        <f t="shared" si="2"/>
        <v>44682</v>
      </c>
      <c r="R8" s="113">
        <f t="shared" si="2"/>
        <v>44713</v>
      </c>
      <c r="S8" s="113">
        <f t="shared" si="2"/>
        <v>44743</v>
      </c>
      <c r="T8" s="114">
        <f t="shared" si="2"/>
        <v>44774</v>
      </c>
      <c r="U8" s="115">
        <f t="shared" si="2"/>
        <v>44805</v>
      </c>
      <c r="V8" s="113">
        <f t="shared" si="2"/>
        <v>44835</v>
      </c>
      <c r="W8" s="113">
        <f t="shared" si="2"/>
        <v>44866</v>
      </c>
      <c r="X8" s="113">
        <f t="shared" si="2"/>
        <v>44896</v>
      </c>
      <c r="Y8" s="113">
        <f t="shared" si="2"/>
        <v>44927</v>
      </c>
      <c r="Z8" s="113">
        <f t="shared" si="2"/>
        <v>44958</v>
      </c>
      <c r="AA8" s="113">
        <f t="shared" si="2"/>
        <v>44986</v>
      </c>
      <c r="AB8" s="113">
        <f t="shared" si="2"/>
        <v>45017</v>
      </c>
      <c r="AC8" s="113">
        <f t="shared" si="2"/>
        <v>45047</v>
      </c>
      <c r="AD8" s="113">
        <f t="shared" si="2"/>
        <v>45078</v>
      </c>
      <c r="AE8" s="113">
        <f t="shared" si="2"/>
        <v>45108</v>
      </c>
      <c r="AF8" s="114">
        <f t="shared" si="2"/>
        <v>45139</v>
      </c>
      <c r="AG8" s="120"/>
    </row>
    <row r="9" spans="1:33" s="6" customFormat="1" x14ac:dyDescent="0.25">
      <c r="A9" s="25" t="s">
        <v>53</v>
      </c>
      <c r="B9" s="95">
        <f>DR_1!C14</f>
        <v>117079</v>
      </c>
      <c r="C9" s="96">
        <f>DR_1!D14</f>
        <v>119671</v>
      </c>
      <c r="D9" s="96">
        <f>DR_1!E14</f>
        <v>128468</v>
      </c>
      <c r="E9" s="96">
        <f>DR_1!F14</f>
        <v>111859</v>
      </c>
      <c r="F9" s="96">
        <f>DR_1!G14</f>
        <v>117705</v>
      </c>
      <c r="G9" s="96">
        <f>DR_1!H14</f>
        <v>130526</v>
      </c>
      <c r="H9" s="102">
        <f>DR_1!I14</f>
        <v>127795</v>
      </c>
      <c r="I9" s="95">
        <f>DR_1!J14</f>
        <v>127608</v>
      </c>
      <c r="J9" s="96">
        <f>DR_1!K14</f>
        <v>137900</v>
      </c>
      <c r="K9" s="96">
        <f>DR_1!L14</f>
        <v>122893</v>
      </c>
      <c r="L9" s="96">
        <f>DR_1!M14</f>
        <v>121566</v>
      </c>
      <c r="M9" s="87">
        <f>TRR_Assumptions!$C$10*M5/100</f>
        <v>127588.31624799399</v>
      </c>
      <c r="N9" s="87">
        <f>TRR_Assumptions!$C$10*N5/100</f>
        <v>127588.31624799399</v>
      </c>
      <c r="O9" s="87">
        <f>TRR_Assumptions!$C$10*O5/100</f>
        <v>127588.31624799399</v>
      </c>
      <c r="P9" s="87">
        <f>TRR_Assumptions!$C$10*P5/100</f>
        <v>127588.31624799399</v>
      </c>
      <c r="Q9" s="87">
        <f>TRR_Assumptions!$C$10*Q5/100</f>
        <v>127588.31624799399</v>
      </c>
      <c r="R9" s="87">
        <f>TRR_Assumptions!$C$10*R5/100</f>
        <v>127588.31624799399</v>
      </c>
      <c r="S9" s="87">
        <f>TRR_Assumptions!$C$10*S5/100</f>
        <v>135028.73590323038</v>
      </c>
      <c r="T9" s="88">
        <f>TRR_Assumptions!$C$10*T5/100</f>
        <v>149909.57521370321</v>
      </c>
      <c r="U9" s="86">
        <f>TRR_Assumptions!$C$10*U5/100</f>
        <v>166650.51943798515</v>
      </c>
      <c r="V9" s="87">
        <f>TRR_Assumptions!$C$10*V5/100</f>
        <v>192691.9882313126</v>
      </c>
      <c r="W9" s="87">
        <f>TRR_Assumptions!$C$10*W5/100</f>
        <v>220593.5619384491</v>
      </c>
      <c r="X9" s="87">
        <f>TRR_Assumptions!$C$10*X5/100</f>
        <v>220593.5619384491</v>
      </c>
      <c r="Y9" s="87">
        <f>TRR_Assumptions!$C$10*Y5/100</f>
        <v>220593.5619384491</v>
      </c>
      <c r="Z9" s="87">
        <f>TRR_Assumptions!$C$10*Z5/100</f>
        <v>220593.5619384491</v>
      </c>
      <c r="AA9" s="87">
        <f>TRR_Assumptions!$C$10*AA5/100</f>
        <v>220593.5619384491</v>
      </c>
      <c r="AB9" s="87">
        <f>TRR_Assumptions!$C$10*AB5/100</f>
        <v>220593.5619384491</v>
      </c>
      <c r="AC9" s="87">
        <f>TRR_Assumptions!$C$10*AC5/100</f>
        <v>220593.5619384491</v>
      </c>
      <c r="AD9" s="87">
        <f>TRR_Assumptions!$C$10*AD5/100</f>
        <v>220593.5619384491</v>
      </c>
      <c r="AE9" s="87">
        <f>TRR_Assumptions!$C$10*AE5/100</f>
        <v>220593.5619384491</v>
      </c>
      <c r="AF9" s="88">
        <f>TRR_Assumptions!$C$10*AF5/100</f>
        <v>220593.5619384491</v>
      </c>
      <c r="AG9" s="11"/>
    </row>
    <row r="10" spans="1:33" s="119" customFormat="1" x14ac:dyDescent="0.25">
      <c r="A10" s="121" t="s">
        <v>18</v>
      </c>
      <c r="B10" s="110">
        <f>B8</f>
        <v>44228</v>
      </c>
      <c r="C10" s="111">
        <f t="shared" ref="C10:AF10" si="3">C8</f>
        <v>44256</v>
      </c>
      <c r="D10" s="111">
        <f t="shared" si="3"/>
        <v>44287</v>
      </c>
      <c r="E10" s="111">
        <f t="shared" si="3"/>
        <v>44317</v>
      </c>
      <c r="F10" s="111">
        <f t="shared" si="3"/>
        <v>44348</v>
      </c>
      <c r="G10" s="111">
        <f t="shared" si="3"/>
        <v>44378</v>
      </c>
      <c r="H10" s="112">
        <f t="shared" si="3"/>
        <v>44409</v>
      </c>
      <c r="I10" s="110">
        <f t="shared" si="3"/>
        <v>44440</v>
      </c>
      <c r="J10" s="111">
        <f t="shared" si="3"/>
        <v>44470</v>
      </c>
      <c r="K10" s="111">
        <f t="shared" si="3"/>
        <v>44501</v>
      </c>
      <c r="L10" s="125">
        <f t="shared" si="3"/>
        <v>44531</v>
      </c>
      <c r="M10" s="113">
        <f t="shared" si="3"/>
        <v>44562</v>
      </c>
      <c r="N10" s="113">
        <f t="shared" si="3"/>
        <v>44593</v>
      </c>
      <c r="O10" s="113">
        <f t="shared" si="3"/>
        <v>44621</v>
      </c>
      <c r="P10" s="113">
        <f t="shared" si="3"/>
        <v>44652</v>
      </c>
      <c r="Q10" s="113">
        <f t="shared" si="3"/>
        <v>44682</v>
      </c>
      <c r="R10" s="113">
        <f t="shared" si="3"/>
        <v>44713</v>
      </c>
      <c r="S10" s="113">
        <f t="shared" si="3"/>
        <v>44743</v>
      </c>
      <c r="T10" s="114">
        <f t="shared" si="3"/>
        <v>44774</v>
      </c>
      <c r="U10" s="115">
        <f t="shared" si="3"/>
        <v>44805</v>
      </c>
      <c r="V10" s="113">
        <f t="shared" si="3"/>
        <v>44835</v>
      </c>
      <c r="W10" s="113">
        <f t="shared" si="3"/>
        <v>44866</v>
      </c>
      <c r="X10" s="113">
        <f t="shared" si="3"/>
        <v>44896</v>
      </c>
      <c r="Y10" s="113">
        <f t="shared" si="3"/>
        <v>44927</v>
      </c>
      <c r="Z10" s="113">
        <f t="shared" si="3"/>
        <v>44958</v>
      </c>
      <c r="AA10" s="113">
        <f t="shared" si="3"/>
        <v>44986</v>
      </c>
      <c r="AB10" s="113">
        <f t="shared" si="3"/>
        <v>45017</v>
      </c>
      <c r="AC10" s="113">
        <f t="shared" si="3"/>
        <v>45047</v>
      </c>
      <c r="AD10" s="113">
        <f t="shared" si="3"/>
        <v>45078</v>
      </c>
      <c r="AE10" s="113">
        <f t="shared" si="3"/>
        <v>45108</v>
      </c>
      <c r="AF10" s="114">
        <f t="shared" si="3"/>
        <v>45139</v>
      </c>
      <c r="AG10" s="120"/>
    </row>
    <row r="11" spans="1:33" s="6" customFormat="1" ht="15.75" thickBot="1" x14ac:dyDescent="0.3">
      <c r="A11" s="25" t="s">
        <v>52</v>
      </c>
      <c r="B11" s="97">
        <f>DR_2!C14</f>
        <v>117032</v>
      </c>
      <c r="C11" s="98">
        <f>DR_2!D14</f>
        <v>119623</v>
      </c>
      <c r="D11" s="98">
        <f>DR_2!E14</f>
        <v>128429</v>
      </c>
      <c r="E11" s="98">
        <f>DR_2!F14</f>
        <v>111814</v>
      </c>
      <c r="F11" s="98">
        <f>DR_2!G14</f>
        <v>117666</v>
      </c>
      <c r="G11" s="98">
        <f>DR_2!H14</f>
        <v>130474</v>
      </c>
      <c r="H11" s="103">
        <f>DR_2!I14</f>
        <v>127760</v>
      </c>
      <c r="I11" s="97">
        <f>DR_2!J14</f>
        <v>127581</v>
      </c>
      <c r="J11" s="98">
        <f>DR_2!K14</f>
        <v>137864</v>
      </c>
      <c r="K11" s="98">
        <f>DR_2!L14</f>
        <v>122864</v>
      </c>
      <c r="L11" s="98">
        <f>DR_2!M14</f>
        <v>121542</v>
      </c>
      <c r="M11" s="90">
        <f>TRR_Assumptions!$C$10*M5/100</f>
        <v>127588.31624799399</v>
      </c>
      <c r="N11" s="90">
        <f>TRR_Assumptions!$C$10*N5/100</f>
        <v>127588.31624799399</v>
      </c>
      <c r="O11" s="90">
        <f>TRR_Assumptions!$C$10*O5/100</f>
        <v>127588.31624799399</v>
      </c>
      <c r="P11" s="90">
        <f>TRR_Assumptions!$C$10*P5/100</f>
        <v>127588.31624799399</v>
      </c>
      <c r="Q11" s="90">
        <f>TRR_Assumptions!$C$10*Q5/100</f>
        <v>127588.31624799399</v>
      </c>
      <c r="R11" s="90">
        <f>TRR_Assumptions!$C$10*R5/100</f>
        <v>127588.31624799399</v>
      </c>
      <c r="S11" s="90">
        <f>TRR_Assumptions!$C$10*S5/100</f>
        <v>135028.73590323038</v>
      </c>
      <c r="T11" s="91">
        <f>TRR_Assumptions!$C$10*T5/100</f>
        <v>149909.57521370321</v>
      </c>
      <c r="U11" s="89">
        <f>TRR_Assumptions!$C$10*U5/100</f>
        <v>166650.51943798515</v>
      </c>
      <c r="V11" s="90">
        <f>TRR_Assumptions!$C$10*V5/100</f>
        <v>192691.9882313126</v>
      </c>
      <c r="W11" s="90">
        <f>TRR_Assumptions!$C$10*W5/100</f>
        <v>220593.5619384491</v>
      </c>
      <c r="X11" s="90">
        <f>TRR_Assumptions!$C$10*X5/100</f>
        <v>220593.5619384491</v>
      </c>
      <c r="Y11" s="90">
        <f>TRR_Assumptions!$C$10*Y5/100</f>
        <v>220593.5619384491</v>
      </c>
      <c r="Z11" s="90">
        <f>TRR_Assumptions!$C$10*Z5/100</f>
        <v>220593.5619384491</v>
      </c>
      <c r="AA11" s="90">
        <f>TRR_Assumptions!$C$10*AA5/100</f>
        <v>220593.5619384491</v>
      </c>
      <c r="AB11" s="90">
        <f>TRR_Assumptions!$C$10*AB5/100</f>
        <v>220593.5619384491</v>
      </c>
      <c r="AC11" s="90">
        <f>TRR_Assumptions!$C$10*AC5/100</f>
        <v>220593.5619384491</v>
      </c>
      <c r="AD11" s="90">
        <f>TRR_Assumptions!$C$10*AD5/100</f>
        <v>220593.5619384491</v>
      </c>
      <c r="AE11" s="90">
        <f>TRR_Assumptions!$C$10*AE5/100</f>
        <v>220593.5619384491</v>
      </c>
      <c r="AF11" s="91">
        <f>TRR_Assumptions!$C$10*AF5/100</f>
        <v>220593.5619384491</v>
      </c>
      <c r="AG11" s="11"/>
    </row>
    <row r="12" spans="1:33" s="6" customFormat="1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3" s="6" customFormat="1" x14ac:dyDescent="0.25">
      <c r="A13" t="s">
        <v>67</v>
      </c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3" s="6" customFormat="1" x14ac:dyDescent="0.25">
      <c r="A14" t="s">
        <v>68</v>
      </c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 s="127"/>
      <c r="U14"/>
      <c r="V14"/>
      <c r="W14"/>
      <c r="X14"/>
      <c r="Y14"/>
      <c r="Z14"/>
      <c r="AA14"/>
      <c r="AB14"/>
      <c r="AC14"/>
      <c r="AD14"/>
      <c r="AE14"/>
      <c r="AF14"/>
    </row>
    <row r="18" ht="15.75" customHeight="1" x14ac:dyDescent="0.25"/>
    <row r="19" ht="15.75" customHeight="1" x14ac:dyDescent="0.25"/>
  </sheetData>
  <pageMargins left="0.7" right="0.7" top="0.75" bottom="0.75" header="0.3" footer="0.3"/>
  <pageSetup scale="65" fitToWidth="0" fitToHeight="0" orientation="landscape" r:id="rId1"/>
  <headerFooter>
    <oddFooter>&amp;C&amp;F: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2:K2"/>
  <sheetViews>
    <sheetView view="pageBreakPreview" zoomScaleNormal="100" zoomScaleSheetLayoutView="100" workbookViewId="0">
      <selection activeCell="J17" sqref="J17"/>
    </sheetView>
  </sheetViews>
  <sheetFormatPr defaultColWidth="8.85546875" defaultRowHeight="15" x14ac:dyDescent="0.25"/>
  <cols>
    <col min="10" max="10" width="16.5703125" customWidth="1"/>
    <col min="11" max="11" width="10.7109375" bestFit="1" customWidth="1"/>
  </cols>
  <sheetData>
    <row r="2" spans="1:11" x14ac:dyDescent="0.25">
      <c r="A2" s="24" t="s">
        <v>75</v>
      </c>
      <c r="K2" s="60">
        <v>44561</v>
      </c>
    </row>
  </sheetData>
  <pageMargins left="0.7" right="0.7" top="0.75" bottom="0.75" header="0.3" footer="0.3"/>
  <pageSetup scale="85" orientation="landscape" r:id="rId1"/>
  <headerFooter>
    <oddFooter>&amp;C&amp;F: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M19"/>
  <sheetViews>
    <sheetView showGridLines="0" topLeftCell="A3" zoomScaleNormal="100" zoomScaleSheetLayoutView="80" workbookViewId="0">
      <selection activeCell="G13" sqref="G13"/>
    </sheetView>
  </sheetViews>
  <sheetFormatPr defaultColWidth="8.85546875" defaultRowHeight="15" x14ac:dyDescent="0.25"/>
  <cols>
    <col min="1" max="1" width="31.140625" customWidth="1"/>
    <col min="2" max="2" width="30" customWidth="1"/>
    <col min="3" max="9" width="13.28515625" customWidth="1"/>
    <col min="10" max="10" width="15.140625" customWidth="1"/>
    <col min="11" max="11" width="13.28515625" customWidth="1"/>
    <col min="12" max="13" width="15.140625" customWidth="1"/>
  </cols>
  <sheetData>
    <row r="1" spans="1:13" x14ac:dyDescent="0.25">
      <c r="A1" s="135" t="str">
        <f>"DR-1: Water Billed Volume ("&amp;TEXT(TRR_Summary!H2,"Mmmm D, YYYY")&amp;" - "&amp;TEXT('Data Source'!K2,"Mmmm D, YYYY")&amp;")"</f>
        <v>DR-1: Water Billed Volume (February 1, 2021 - December 31, 2021)</v>
      </c>
      <c r="B1" s="136"/>
      <c r="C1" s="136"/>
      <c r="D1" s="136"/>
      <c r="E1" s="136"/>
      <c r="F1" s="136"/>
      <c r="G1" s="136"/>
      <c r="H1" s="131"/>
      <c r="I1" s="131"/>
      <c r="J1" s="131"/>
      <c r="K1" s="131"/>
      <c r="L1" s="131"/>
      <c r="M1" s="131"/>
    </row>
    <row r="2" spans="1:13" x14ac:dyDescent="0.25">
      <c r="A2" s="56"/>
      <c r="B2" s="57"/>
      <c r="C2" s="57">
        <v>2021</v>
      </c>
      <c r="D2" s="57">
        <v>2021</v>
      </c>
      <c r="E2" s="57">
        <v>2021</v>
      </c>
      <c r="F2" s="57">
        <v>2021</v>
      </c>
      <c r="G2" s="57">
        <v>2021</v>
      </c>
      <c r="H2" s="62">
        <v>2021</v>
      </c>
      <c r="I2" s="62">
        <v>2021</v>
      </c>
      <c r="J2" s="62">
        <v>2021</v>
      </c>
      <c r="K2" s="62">
        <v>2021</v>
      </c>
      <c r="L2" s="62">
        <v>2021</v>
      </c>
      <c r="M2" s="123">
        <v>2021</v>
      </c>
    </row>
    <row r="3" spans="1:13" x14ac:dyDescent="0.25">
      <c r="A3" s="56"/>
      <c r="B3" s="57"/>
      <c r="C3" s="57">
        <v>2</v>
      </c>
      <c r="D3" s="57">
        <v>3</v>
      </c>
      <c r="E3" s="57">
        <v>4</v>
      </c>
      <c r="F3" s="57">
        <v>5</v>
      </c>
      <c r="G3" s="57">
        <v>6</v>
      </c>
      <c r="H3" s="62">
        <v>7</v>
      </c>
      <c r="I3" s="62">
        <v>8</v>
      </c>
      <c r="J3" s="62">
        <v>9</v>
      </c>
      <c r="K3" s="62">
        <v>10</v>
      </c>
      <c r="L3" s="62">
        <v>11</v>
      </c>
      <c r="M3" s="123">
        <v>12</v>
      </c>
    </row>
    <row r="4" spans="1:13" ht="70.150000000000006" customHeight="1" x14ac:dyDescent="0.25">
      <c r="A4" s="37" t="s">
        <v>8</v>
      </c>
      <c r="B4" s="38" t="s">
        <v>9</v>
      </c>
      <c r="C4" s="53" t="str">
        <f t="shared" ref="C4:G4" si="0">TEXT(C3*29, "Mmmm")&amp;" "&amp;C2&amp;" Water Billed Volume (CCF)"</f>
        <v>February 2021 Water Billed Volume (CCF)</v>
      </c>
      <c r="D4" s="53" t="str">
        <f t="shared" si="0"/>
        <v>March 2021 Water Billed Volume (CCF)</v>
      </c>
      <c r="E4" s="53" t="str">
        <f t="shared" si="0"/>
        <v>April 2021 Water Billed Volume (CCF)</v>
      </c>
      <c r="F4" s="53" t="str">
        <f t="shared" si="0"/>
        <v>May 2021 Water Billed Volume (CCF)</v>
      </c>
      <c r="G4" s="53" t="str">
        <f t="shared" si="0"/>
        <v>June 2021 Water Billed Volume (CCF)</v>
      </c>
      <c r="H4" s="53" t="str">
        <f t="shared" ref="H4:L4" si="1">TEXT(H3*29, "Mmmm")&amp;" "&amp;H2&amp;" Water Billed Volume (CCF)"</f>
        <v>July 2021 Water Billed Volume (CCF)</v>
      </c>
      <c r="I4" s="53" t="str">
        <f t="shared" si="1"/>
        <v>August 2021 Water Billed Volume (CCF)</v>
      </c>
      <c r="J4" s="53" t="str">
        <f t="shared" si="1"/>
        <v>September 2021 Water Billed Volume (CCF)</v>
      </c>
      <c r="K4" s="53" t="str">
        <f t="shared" si="1"/>
        <v>October 2021 Water Billed Volume (CCF)</v>
      </c>
      <c r="L4" s="53" t="str">
        <f t="shared" si="1"/>
        <v>November 2021 Water Billed Volume (CCF)</v>
      </c>
      <c r="M4" s="53" t="str">
        <f t="shared" ref="M4" si="2">TEXT(M3*29, "Mmmm")&amp;" "&amp;M2&amp;" Water Billed Volume (CCF)"</f>
        <v>December 2021 Water Billed Volume (CCF)</v>
      </c>
    </row>
    <row r="5" spans="1:13" x14ac:dyDescent="0.25">
      <c r="A5" s="15" t="s">
        <v>49</v>
      </c>
      <c r="B5" s="50" t="s">
        <v>60</v>
      </c>
      <c r="C5" s="26">
        <v>117079</v>
      </c>
      <c r="D5" s="26">
        <v>119671</v>
      </c>
      <c r="E5" s="26">
        <v>128468</v>
      </c>
      <c r="F5" s="26">
        <v>111859</v>
      </c>
      <c r="G5" s="26">
        <v>117705</v>
      </c>
      <c r="H5" s="26">
        <v>130526</v>
      </c>
      <c r="I5" s="26">
        <v>127795</v>
      </c>
      <c r="J5" s="26">
        <v>127608</v>
      </c>
      <c r="K5" s="26">
        <v>137900</v>
      </c>
      <c r="L5" s="26">
        <v>122893</v>
      </c>
      <c r="M5" s="26">
        <v>121566</v>
      </c>
    </row>
    <row r="6" spans="1:13" x14ac:dyDescent="0.25">
      <c r="A6" s="15" t="s">
        <v>11</v>
      </c>
      <c r="B6" s="15" t="s">
        <v>62</v>
      </c>
      <c r="C6" s="26">
        <v>71339</v>
      </c>
      <c r="D6" s="26">
        <v>74624</v>
      </c>
      <c r="E6" s="26">
        <v>75201</v>
      </c>
      <c r="F6" s="26">
        <v>66094</v>
      </c>
      <c r="G6" s="26">
        <v>70502</v>
      </c>
      <c r="H6" s="26">
        <v>77941</v>
      </c>
      <c r="I6" s="26">
        <v>76404</v>
      </c>
      <c r="J6" s="26">
        <v>76074</v>
      </c>
      <c r="K6" s="26">
        <v>77342</v>
      </c>
      <c r="L6" s="26">
        <v>70202</v>
      </c>
      <c r="M6" s="26">
        <v>70380</v>
      </c>
    </row>
    <row r="7" spans="1:13" x14ac:dyDescent="0.25">
      <c r="A7" s="15" t="s">
        <v>11</v>
      </c>
      <c r="B7" s="15" t="s">
        <v>10</v>
      </c>
      <c r="C7" s="26">
        <v>119916</v>
      </c>
      <c r="D7" s="26">
        <v>112029</v>
      </c>
      <c r="E7" s="26">
        <v>123343</v>
      </c>
      <c r="F7" s="26">
        <v>114660</v>
      </c>
      <c r="G7" s="26">
        <v>116203</v>
      </c>
      <c r="H7" s="26">
        <v>132262</v>
      </c>
      <c r="I7" s="26">
        <v>129317</v>
      </c>
      <c r="J7" s="26">
        <v>132474</v>
      </c>
      <c r="K7" s="26">
        <v>131439</v>
      </c>
      <c r="L7" s="26">
        <v>122755</v>
      </c>
      <c r="M7" s="26">
        <v>124347</v>
      </c>
    </row>
    <row r="8" spans="1:13" x14ac:dyDescent="0.25">
      <c r="A8" s="15" t="s">
        <v>11</v>
      </c>
      <c r="B8" s="15" t="s">
        <v>13</v>
      </c>
      <c r="C8" s="26">
        <v>133423</v>
      </c>
      <c r="D8" s="26">
        <v>168240</v>
      </c>
      <c r="E8" s="26">
        <v>148974</v>
      </c>
      <c r="F8" s="26">
        <v>154456</v>
      </c>
      <c r="G8" s="26">
        <v>186764</v>
      </c>
      <c r="H8" s="26">
        <v>205175</v>
      </c>
      <c r="I8" s="26">
        <v>220298</v>
      </c>
      <c r="J8" s="26">
        <v>230635</v>
      </c>
      <c r="K8" s="26">
        <v>216483</v>
      </c>
      <c r="L8" s="26">
        <v>190578</v>
      </c>
      <c r="M8" s="26">
        <v>196958</v>
      </c>
    </row>
    <row r="9" spans="1:13" x14ac:dyDescent="0.25">
      <c r="A9" s="15" t="s">
        <v>11</v>
      </c>
      <c r="B9" s="22" t="s">
        <v>39</v>
      </c>
      <c r="C9" s="26">
        <v>3832728</v>
      </c>
      <c r="D9" s="26">
        <v>4012010</v>
      </c>
      <c r="E9" s="26">
        <v>4243793</v>
      </c>
      <c r="F9" s="26">
        <v>4086070</v>
      </c>
      <c r="G9" s="26">
        <v>4293086</v>
      </c>
      <c r="H9" s="26">
        <v>4693314</v>
      </c>
      <c r="I9" s="26">
        <v>4633239</v>
      </c>
      <c r="J9" s="26">
        <v>4603998</v>
      </c>
      <c r="K9" s="26">
        <v>4727100</v>
      </c>
      <c r="L9" s="26">
        <v>4151236</v>
      </c>
      <c r="M9" s="26">
        <v>4210608</v>
      </c>
    </row>
    <row r="10" spans="1:13" x14ac:dyDescent="0.25">
      <c r="A10" s="15" t="s">
        <v>61</v>
      </c>
      <c r="B10" s="15" t="s">
        <v>12</v>
      </c>
      <c r="C10" s="26">
        <v>178805</v>
      </c>
      <c r="D10" s="26">
        <v>237818</v>
      </c>
      <c r="E10" s="26">
        <v>185543</v>
      </c>
      <c r="F10" s="26">
        <v>250215</v>
      </c>
      <c r="G10" s="26">
        <v>228612</v>
      </c>
      <c r="H10" s="26">
        <v>245887</v>
      </c>
      <c r="I10" s="26">
        <v>300932</v>
      </c>
      <c r="J10" s="26">
        <v>782973</v>
      </c>
      <c r="K10" s="26">
        <v>301926</v>
      </c>
      <c r="L10" s="26">
        <v>278509</v>
      </c>
      <c r="M10" s="26">
        <v>241465</v>
      </c>
    </row>
    <row r="12" spans="1:13" x14ac:dyDescent="0.25">
      <c r="A12" s="133" t="s">
        <v>47</v>
      </c>
      <c r="B12" s="134"/>
      <c r="C12" s="134"/>
      <c r="D12" s="134"/>
      <c r="E12" s="134"/>
      <c r="F12" s="134"/>
      <c r="G12" s="134"/>
      <c r="H12" s="131"/>
      <c r="I12" s="131"/>
      <c r="J12" s="131"/>
      <c r="K12" s="131"/>
      <c r="L12" s="131"/>
      <c r="M12" s="131"/>
    </row>
    <row r="13" spans="1:13" ht="60" x14ac:dyDescent="0.25">
      <c r="A13" s="40" t="s">
        <v>8</v>
      </c>
      <c r="C13" s="53" t="str">
        <f t="shared" ref="C13:G13" si="3">C4</f>
        <v>February 2021 Water Billed Volume (CCF)</v>
      </c>
      <c r="D13" s="53" t="str">
        <f t="shared" si="3"/>
        <v>March 2021 Water Billed Volume (CCF)</v>
      </c>
      <c r="E13" s="53" t="str">
        <f t="shared" si="3"/>
        <v>April 2021 Water Billed Volume (CCF)</v>
      </c>
      <c r="F13" s="53" t="str">
        <f t="shared" si="3"/>
        <v>May 2021 Water Billed Volume (CCF)</v>
      </c>
      <c r="G13" s="53" t="str">
        <f t="shared" si="3"/>
        <v>June 2021 Water Billed Volume (CCF)</v>
      </c>
      <c r="H13" s="53" t="str">
        <f t="shared" ref="H13:L13" si="4">H4</f>
        <v>July 2021 Water Billed Volume (CCF)</v>
      </c>
      <c r="I13" s="53" t="str">
        <f t="shared" si="4"/>
        <v>August 2021 Water Billed Volume (CCF)</v>
      </c>
      <c r="J13" s="53" t="str">
        <f t="shared" si="4"/>
        <v>September 2021 Water Billed Volume (CCF)</v>
      </c>
      <c r="K13" s="53" t="str">
        <f t="shared" si="4"/>
        <v>October 2021 Water Billed Volume (CCF)</v>
      </c>
      <c r="L13" s="53" t="str">
        <f t="shared" si="4"/>
        <v>November 2021 Water Billed Volume (CCF)</v>
      </c>
      <c r="M13" s="53" t="str">
        <f t="shared" ref="M13" si="5">M4</f>
        <v>December 2021 Water Billed Volume (CCF)</v>
      </c>
    </row>
    <row r="14" spans="1:13" x14ac:dyDescent="0.25">
      <c r="A14" s="15" t="s">
        <v>49</v>
      </c>
      <c r="C14" s="26">
        <f t="shared" ref="C14:H16" si="6">SUMIF($A$5:$A$10,$A14,C$5:C$10)</f>
        <v>117079</v>
      </c>
      <c r="D14" s="26">
        <f t="shared" si="6"/>
        <v>119671</v>
      </c>
      <c r="E14" s="26">
        <f t="shared" si="6"/>
        <v>128468</v>
      </c>
      <c r="F14" s="26">
        <f t="shared" si="6"/>
        <v>111859</v>
      </c>
      <c r="G14" s="26">
        <f t="shared" si="6"/>
        <v>117705</v>
      </c>
      <c r="H14" s="26">
        <f t="shared" si="6"/>
        <v>130526</v>
      </c>
      <c r="I14" s="26">
        <f t="shared" ref="H14:M16" si="7">SUMIF($A$5:$A$10,$A14,I$5:I$10)</f>
        <v>127795</v>
      </c>
      <c r="J14" s="26">
        <f t="shared" si="7"/>
        <v>127608</v>
      </c>
      <c r="K14" s="26">
        <f t="shared" si="7"/>
        <v>137900</v>
      </c>
      <c r="L14" s="26">
        <f t="shared" si="7"/>
        <v>122893</v>
      </c>
      <c r="M14" s="26">
        <f t="shared" si="7"/>
        <v>121566</v>
      </c>
    </row>
    <row r="15" spans="1:13" x14ac:dyDescent="0.25">
      <c r="A15" s="15" t="s">
        <v>11</v>
      </c>
      <c r="C15" s="26">
        <f t="shared" si="6"/>
        <v>4157406</v>
      </c>
      <c r="D15" s="26">
        <f t="shared" si="6"/>
        <v>4366903</v>
      </c>
      <c r="E15" s="26">
        <f t="shared" si="6"/>
        <v>4591311</v>
      </c>
      <c r="F15" s="26">
        <f t="shared" si="6"/>
        <v>4421280</v>
      </c>
      <c r="G15" s="26">
        <f t="shared" si="6"/>
        <v>4666555</v>
      </c>
      <c r="H15" s="26">
        <f t="shared" si="7"/>
        <v>5108692</v>
      </c>
      <c r="I15" s="26">
        <f t="shared" si="7"/>
        <v>5059258</v>
      </c>
      <c r="J15" s="26">
        <f t="shared" si="7"/>
        <v>5043181</v>
      </c>
      <c r="K15" s="26">
        <f t="shared" si="7"/>
        <v>5152364</v>
      </c>
      <c r="L15" s="26">
        <f t="shared" si="7"/>
        <v>4534771</v>
      </c>
      <c r="M15" s="26">
        <f t="shared" si="7"/>
        <v>4602293</v>
      </c>
    </row>
    <row r="16" spans="1:13" x14ac:dyDescent="0.25">
      <c r="A16" s="15" t="s">
        <v>61</v>
      </c>
      <c r="C16" s="26">
        <f t="shared" si="6"/>
        <v>178805</v>
      </c>
      <c r="D16" s="26">
        <f t="shared" si="6"/>
        <v>237818</v>
      </c>
      <c r="E16" s="26">
        <f t="shared" si="6"/>
        <v>185543</v>
      </c>
      <c r="F16" s="26">
        <f t="shared" si="6"/>
        <v>250215</v>
      </c>
      <c r="G16" s="26">
        <f t="shared" si="6"/>
        <v>228612</v>
      </c>
      <c r="H16" s="26">
        <f t="shared" si="7"/>
        <v>245887</v>
      </c>
      <c r="I16" s="26">
        <f t="shared" si="7"/>
        <v>300932</v>
      </c>
      <c r="J16" s="26">
        <f t="shared" si="7"/>
        <v>782973</v>
      </c>
      <c r="K16" s="26">
        <f t="shared" si="7"/>
        <v>301926</v>
      </c>
      <c r="L16" s="26">
        <f t="shared" si="7"/>
        <v>278509</v>
      </c>
      <c r="M16" s="26">
        <f t="shared" si="7"/>
        <v>241465</v>
      </c>
    </row>
    <row r="18" spans="1:1" x14ac:dyDescent="0.25">
      <c r="A18" s="4"/>
    </row>
    <row r="19" spans="1:1" x14ac:dyDescent="0.25">
      <c r="A19" t="s">
        <v>63</v>
      </c>
    </row>
  </sheetData>
  <mergeCells count="2">
    <mergeCell ref="A12:G12"/>
    <mergeCell ref="A1:G1"/>
  </mergeCells>
  <pageMargins left="0.7" right="0.7" top="0.75" bottom="0.75" header="0.3" footer="0.3"/>
  <pageSetup scale="55" orientation="landscape" r:id="rId1"/>
  <headerFooter>
    <oddFooter>&amp;C&amp;F: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M19"/>
  <sheetViews>
    <sheetView showGridLines="0" zoomScaleNormal="100" zoomScaleSheetLayoutView="80" zoomScalePageLayoutView="40" workbookViewId="0">
      <selection activeCell="D10" sqref="D10"/>
    </sheetView>
  </sheetViews>
  <sheetFormatPr defaultColWidth="8.85546875" defaultRowHeight="15" x14ac:dyDescent="0.25"/>
  <cols>
    <col min="1" max="1" width="31.140625" customWidth="1"/>
    <col min="2" max="2" width="30" customWidth="1"/>
    <col min="3" max="4" width="14.5703125" bestFit="1" customWidth="1"/>
    <col min="5" max="5" width="12.85546875" bestFit="1" customWidth="1"/>
    <col min="6" max="6" width="12.140625" bestFit="1" customWidth="1"/>
    <col min="7" max="7" width="13.140625" customWidth="1"/>
    <col min="8" max="8" width="12.140625" customWidth="1"/>
    <col min="9" max="13" width="14.5703125" bestFit="1" customWidth="1"/>
  </cols>
  <sheetData>
    <row r="1" spans="1:13" x14ac:dyDescent="0.25">
      <c r="A1" s="137" t="str">
        <f>"DR-2: Sewer Billed Volume ("&amp;TEXT(TRR_Summary!H2,"Mmmm D, YYYY")&amp;" - "&amp;TEXT('Data Source'!K2,"Mmmm D, YYYY")&amp;")"</f>
        <v>DR-2: Sewer Billed Volume (February 1, 2021 - December 31, 2021)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3" x14ac:dyDescent="0.25">
      <c r="A2" s="56"/>
      <c r="B2" s="57"/>
      <c r="C2" s="57">
        <v>2021</v>
      </c>
      <c r="D2" s="57">
        <v>2021</v>
      </c>
      <c r="E2" s="57">
        <v>2021</v>
      </c>
      <c r="F2" s="57">
        <v>2021</v>
      </c>
      <c r="G2" s="57">
        <v>2021</v>
      </c>
      <c r="H2" s="62">
        <v>2021</v>
      </c>
      <c r="I2" s="62">
        <v>2021</v>
      </c>
      <c r="J2" s="62">
        <v>2021</v>
      </c>
      <c r="K2" s="62">
        <v>2021</v>
      </c>
      <c r="L2" s="62">
        <v>2021</v>
      </c>
      <c r="M2" s="124">
        <v>2021</v>
      </c>
    </row>
    <row r="3" spans="1:13" x14ac:dyDescent="0.25">
      <c r="A3" s="56"/>
      <c r="B3" s="57"/>
      <c r="C3" s="57">
        <v>2</v>
      </c>
      <c r="D3" s="57">
        <v>3</v>
      </c>
      <c r="E3" s="57">
        <v>4</v>
      </c>
      <c r="F3" s="57">
        <v>5</v>
      </c>
      <c r="G3" s="57">
        <v>6</v>
      </c>
      <c r="H3" s="62">
        <v>7</v>
      </c>
      <c r="I3" s="62">
        <v>8</v>
      </c>
      <c r="J3" s="62">
        <v>9</v>
      </c>
      <c r="K3" s="62">
        <v>10</v>
      </c>
      <c r="L3" s="62">
        <v>11</v>
      </c>
      <c r="M3" s="124">
        <v>12</v>
      </c>
    </row>
    <row r="4" spans="1:13" ht="75" x14ac:dyDescent="0.25">
      <c r="A4" s="37" t="s">
        <v>8</v>
      </c>
      <c r="B4" s="38" t="s">
        <v>9</v>
      </c>
      <c r="C4" s="53" t="str">
        <f t="shared" ref="C4:G4" si="0">TEXT(C3*29, "Mmmm")&amp;" "&amp;C2&amp;" Sewer Billed Volume (CCF)"</f>
        <v>February 2021 Sewer Billed Volume (CCF)</v>
      </c>
      <c r="D4" s="53" t="str">
        <f t="shared" si="0"/>
        <v>March 2021 Sewer Billed Volume (CCF)</v>
      </c>
      <c r="E4" s="53" t="str">
        <f t="shared" si="0"/>
        <v>April 2021 Sewer Billed Volume (CCF)</v>
      </c>
      <c r="F4" s="53" t="str">
        <f t="shared" si="0"/>
        <v>May 2021 Sewer Billed Volume (CCF)</v>
      </c>
      <c r="G4" s="53" t="str">
        <f t="shared" si="0"/>
        <v>June 2021 Sewer Billed Volume (CCF)</v>
      </c>
      <c r="H4" s="53" t="str">
        <f t="shared" ref="H4:L4" si="1">TEXT(H3*29, "Mmmm")&amp;" "&amp;H2&amp;" Sewer Billed Volume (CCF)"</f>
        <v>July 2021 Sewer Billed Volume (CCF)</v>
      </c>
      <c r="I4" s="53" t="str">
        <f t="shared" si="1"/>
        <v>August 2021 Sewer Billed Volume (CCF)</v>
      </c>
      <c r="J4" s="53" t="str">
        <f t="shared" si="1"/>
        <v>September 2021 Sewer Billed Volume (CCF)</v>
      </c>
      <c r="K4" s="53" t="str">
        <f t="shared" si="1"/>
        <v>October 2021 Sewer Billed Volume (CCF)</v>
      </c>
      <c r="L4" s="53" t="str">
        <f t="shared" si="1"/>
        <v>November 2021 Sewer Billed Volume (CCF)</v>
      </c>
      <c r="M4" s="53" t="str">
        <f t="shared" ref="M4" si="2">TEXT(M3*29, "Mmmm")&amp;" "&amp;M2&amp;" Sewer Billed Volume (CCF)"</f>
        <v>December 2021 Sewer Billed Volume (CCF)</v>
      </c>
    </row>
    <row r="5" spans="1:13" x14ac:dyDescent="0.25">
      <c r="A5" s="15" t="s">
        <v>49</v>
      </c>
      <c r="B5" s="50" t="s">
        <v>60</v>
      </c>
      <c r="C5" s="26">
        <v>117032</v>
      </c>
      <c r="D5" s="26">
        <v>119623</v>
      </c>
      <c r="E5" s="26">
        <v>128429</v>
      </c>
      <c r="F5" s="26">
        <v>111814</v>
      </c>
      <c r="G5" s="26">
        <v>117666</v>
      </c>
      <c r="H5" s="26">
        <v>130474</v>
      </c>
      <c r="I5" s="26">
        <v>127760</v>
      </c>
      <c r="J5" s="26">
        <v>127581</v>
      </c>
      <c r="K5" s="26">
        <v>137864</v>
      </c>
      <c r="L5" s="26">
        <v>122864</v>
      </c>
      <c r="M5" s="26">
        <v>121542</v>
      </c>
    </row>
    <row r="6" spans="1:13" x14ac:dyDescent="0.25">
      <c r="A6" s="15" t="s">
        <v>11</v>
      </c>
      <c r="B6" s="15" t="s">
        <v>62</v>
      </c>
      <c r="C6" s="26">
        <v>71277</v>
      </c>
      <c r="D6" s="26">
        <v>74560</v>
      </c>
      <c r="E6" s="26">
        <v>75126</v>
      </c>
      <c r="F6" s="26">
        <v>66033</v>
      </c>
      <c r="G6" s="26">
        <v>70433</v>
      </c>
      <c r="H6" s="26">
        <v>77890</v>
      </c>
      <c r="I6" s="26">
        <v>76338</v>
      </c>
      <c r="J6" s="26">
        <v>76005</v>
      </c>
      <c r="K6" s="26">
        <v>77257</v>
      </c>
      <c r="L6" s="26">
        <v>70143</v>
      </c>
      <c r="M6" s="26">
        <v>70315</v>
      </c>
    </row>
    <row r="7" spans="1:13" x14ac:dyDescent="0.25">
      <c r="A7" s="15" t="s">
        <v>11</v>
      </c>
      <c r="B7" s="15" t="s">
        <v>10</v>
      </c>
      <c r="C7" s="26">
        <v>119916</v>
      </c>
      <c r="D7" s="26">
        <v>112029</v>
      </c>
      <c r="E7" s="26">
        <v>123343</v>
      </c>
      <c r="F7" s="26">
        <v>114660</v>
      </c>
      <c r="G7" s="26">
        <v>116092</v>
      </c>
      <c r="H7" s="26">
        <v>132132</v>
      </c>
      <c r="I7" s="26">
        <v>129186</v>
      </c>
      <c r="J7" s="26">
        <v>132328</v>
      </c>
      <c r="K7" s="26">
        <v>131313</v>
      </c>
      <c r="L7" s="26">
        <v>122686</v>
      </c>
      <c r="M7" s="26">
        <v>124347</v>
      </c>
    </row>
    <row r="8" spans="1:13" x14ac:dyDescent="0.25">
      <c r="A8" s="15" t="s">
        <v>11</v>
      </c>
      <c r="B8" s="15" t="s">
        <v>13</v>
      </c>
      <c r="C8" s="26">
        <v>132874</v>
      </c>
      <c r="D8" s="26">
        <v>166895</v>
      </c>
      <c r="E8" s="26">
        <v>147604</v>
      </c>
      <c r="F8" s="26">
        <v>153604</v>
      </c>
      <c r="G8" s="26">
        <v>185557</v>
      </c>
      <c r="H8" s="26">
        <v>202313</v>
      </c>
      <c r="I8" s="26">
        <v>218480</v>
      </c>
      <c r="J8" s="26">
        <v>228732</v>
      </c>
      <c r="K8" s="26">
        <v>213955</v>
      </c>
      <c r="L8" s="26">
        <v>189141</v>
      </c>
      <c r="M8" s="26">
        <v>195700</v>
      </c>
    </row>
    <row r="9" spans="1:13" x14ac:dyDescent="0.25">
      <c r="A9" s="15" t="s">
        <v>11</v>
      </c>
      <c r="B9" s="22" t="s">
        <v>39</v>
      </c>
      <c r="C9" s="26">
        <v>3649338</v>
      </c>
      <c r="D9" s="26">
        <v>3821179</v>
      </c>
      <c r="E9" s="26">
        <v>3988903</v>
      </c>
      <c r="F9" s="26">
        <v>3754794</v>
      </c>
      <c r="G9" s="26">
        <v>3998267</v>
      </c>
      <c r="H9" s="26">
        <v>4408499</v>
      </c>
      <c r="I9" s="26">
        <v>4326048</v>
      </c>
      <c r="J9" s="26">
        <v>4304940</v>
      </c>
      <c r="K9" s="26">
        <v>4420370</v>
      </c>
      <c r="L9" s="26">
        <v>3898765</v>
      </c>
      <c r="M9" s="26">
        <v>3987774</v>
      </c>
    </row>
    <row r="10" spans="1:13" x14ac:dyDescent="0.25">
      <c r="A10" s="15" t="s">
        <v>61</v>
      </c>
      <c r="B10" s="15" t="s">
        <v>12</v>
      </c>
      <c r="C10" s="26">
        <v>178805</v>
      </c>
      <c r="D10" s="26">
        <v>237818</v>
      </c>
      <c r="E10" s="26">
        <v>185543</v>
      </c>
      <c r="F10" s="26">
        <v>250215</v>
      </c>
      <c r="G10" s="26">
        <v>228612</v>
      </c>
      <c r="H10" s="26">
        <v>245887</v>
      </c>
      <c r="I10" s="26">
        <v>300932</v>
      </c>
      <c r="J10" s="26">
        <v>782973</v>
      </c>
      <c r="K10" s="26">
        <v>301926</v>
      </c>
      <c r="L10" s="26">
        <v>278509</v>
      </c>
      <c r="M10" s="26">
        <v>241465</v>
      </c>
    </row>
    <row r="12" spans="1:13" x14ac:dyDescent="0.25">
      <c r="A12" s="133" t="s">
        <v>48</v>
      </c>
      <c r="B12" s="134"/>
    </row>
    <row r="13" spans="1:13" ht="75" x14ac:dyDescent="0.25">
      <c r="A13" s="40" t="s">
        <v>8</v>
      </c>
      <c r="C13" s="53" t="str">
        <f t="shared" ref="C13:G13" si="3">C4</f>
        <v>February 2021 Sewer Billed Volume (CCF)</v>
      </c>
      <c r="D13" s="53" t="str">
        <f t="shared" si="3"/>
        <v>March 2021 Sewer Billed Volume (CCF)</v>
      </c>
      <c r="E13" s="53" t="str">
        <f t="shared" si="3"/>
        <v>April 2021 Sewer Billed Volume (CCF)</v>
      </c>
      <c r="F13" s="53" t="str">
        <f t="shared" si="3"/>
        <v>May 2021 Sewer Billed Volume (CCF)</v>
      </c>
      <c r="G13" s="53" t="str">
        <f t="shared" si="3"/>
        <v>June 2021 Sewer Billed Volume (CCF)</v>
      </c>
      <c r="H13" s="53" t="str">
        <f t="shared" ref="H13:L13" si="4">H4</f>
        <v>July 2021 Sewer Billed Volume (CCF)</v>
      </c>
      <c r="I13" s="53" t="str">
        <f t="shared" si="4"/>
        <v>August 2021 Sewer Billed Volume (CCF)</v>
      </c>
      <c r="J13" s="53" t="str">
        <f t="shared" si="4"/>
        <v>September 2021 Sewer Billed Volume (CCF)</v>
      </c>
      <c r="K13" s="53" t="str">
        <f t="shared" si="4"/>
        <v>October 2021 Sewer Billed Volume (CCF)</v>
      </c>
      <c r="L13" s="53" t="str">
        <f t="shared" si="4"/>
        <v>November 2021 Sewer Billed Volume (CCF)</v>
      </c>
      <c r="M13" s="53" t="str">
        <f t="shared" ref="M13" si="5">M4</f>
        <v>December 2021 Sewer Billed Volume (CCF)</v>
      </c>
    </row>
    <row r="14" spans="1:13" x14ac:dyDescent="0.25">
      <c r="A14" s="15" t="s">
        <v>49</v>
      </c>
      <c r="C14" s="26">
        <f t="shared" ref="C14:H14" si="6">SUMIF($A$5:$A$10,$A14,C$5:C$10)</f>
        <v>117032</v>
      </c>
      <c r="D14" s="26">
        <f t="shared" si="6"/>
        <v>119623</v>
      </c>
      <c r="E14" s="26">
        <f t="shared" si="6"/>
        <v>128429</v>
      </c>
      <c r="F14" s="26">
        <f t="shared" si="6"/>
        <v>111814</v>
      </c>
      <c r="G14" s="26">
        <f t="shared" si="6"/>
        <v>117666</v>
      </c>
      <c r="H14" s="26">
        <f t="shared" si="6"/>
        <v>130474</v>
      </c>
      <c r="I14" s="26">
        <f t="shared" ref="I14:M14" si="7">SUMIF($A$5:$A$10,$A14,I$5:I$10)</f>
        <v>127760</v>
      </c>
      <c r="J14" s="26">
        <f t="shared" si="7"/>
        <v>127581</v>
      </c>
      <c r="K14" s="26">
        <f t="shared" si="7"/>
        <v>137864</v>
      </c>
      <c r="L14" s="26">
        <f t="shared" si="7"/>
        <v>122864</v>
      </c>
      <c r="M14" s="26">
        <f t="shared" si="7"/>
        <v>121542</v>
      </c>
    </row>
    <row r="15" spans="1:13" x14ac:dyDescent="0.25">
      <c r="A15" s="15" t="s">
        <v>11</v>
      </c>
      <c r="C15" s="26">
        <f t="shared" ref="C15:M16" si="8">SUMIF($A$5:$A$10,$A15,C$5:C$10)</f>
        <v>3973405</v>
      </c>
      <c r="D15" s="26">
        <f t="shared" si="8"/>
        <v>4174663</v>
      </c>
      <c r="E15" s="26">
        <f t="shared" si="8"/>
        <v>4334976</v>
      </c>
      <c r="F15" s="26">
        <f t="shared" si="8"/>
        <v>4089091</v>
      </c>
      <c r="G15" s="26">
        <f t="shared" si="8"/>
        <v>4370349</v>
      </c>
      <c r="H15" s="26">
        <f t="shared" si="8"/>
        <v>4820834</v>
      </c>
      <c r="I15" s="26">
        <f t="shared" si="8"/>
        <v>4750052</v>
      </c>
      <c r="J15" s="26">
        <f t="shared" si="8"/>
        <v>4742005</v>
      </c>
      <c r="K15" s="26">
        <f t="shared" si="8"/>
        <v>4842895</v>
      </c>
      <c r="L15" s="26">
        <f t="shared" si="8"/>
        <v>4280735</v>
      </c>
      <c r="M15" s="26">
        <f>SUMIF($A$5:$A$10,$A15,M$5:M$10)</f>
        <v>4378136</v>
      </c>
    </row>
    <row r="16" spans="1:13" x14ac:dyDescent="0.25">
      <c r="A16" s="15" t="s">
        <v>61</v>
      </c>
      <c r="C16" s="26">
        <f t="shared" si="8"/>
        <v>178805</v>
      </c>
      <c r="D16" s="26">
        <f t="shared" si="8"/>
        <v>237818</v>
      </c>
      <c r="E16" s="26">
        <f t="shared" si="8"/>
        <v>185543</v>
      </c>
      <c r="F16" s="26">
        <f t="shared" si="8"/>
        <v>250215</v>
      </c>
      <c r="G16" s="26">
        <f t="shared" si="8"/>
        <v>228612</v>
      </c>
      <c r="H16" s="26">
        <f t="shared" si="8"/>
        <v>245887</v>
      </c>
      <c r="I16" s="26">
        <f t="shared" si="8"/>
        <v>300932</v>
      </c>
      <c r="J16" s="26">
        <f t="shared" si="8"/>
        <v>782973</v>
      </c>
      <c r="K16" s="26">
        <f t="shared" si="8"/>
        <v>301926</v>
      </c>
      <c r="L16" s="26">
        <f t="shared" si="8"/>
        <v>278509</v>
      </c>
      <c r="M16" s="26">
        <f t="shared" si="8"/>
        <v>241465</v>
      </c>
    </row>
    <row r="18" spans="1:7" x14ac:dyDescent="0.25">
      <c r="A18" s="4"/>
    </row>
    <row r="19" spans="1:7" x14ac:dyDescent="0.25">
      <c r="A19" t="s">
        <v>63</v>
      </c>
      <c r="C19" s="39"/>
      <c r="D19" s="39"/>
      <c r="E19" s="39"/>
      <c r="F19" s="39"/>
      <c r="G19" s="39"/>
    </row>
  </sheetData>
  <mergeCells count="2">
    <mergeCell ref="A12:B12"/>
    <mergeCell ref="A1:M1"/>
  </mergeCells>
  <pageMargins left="0.7" right="0.7" top="0.75" bottom="0.75" header="0.3" footer="0.3"/>
  <pageSetup scale="55" fitToHeight="0" orientation="landscape" r:id="rId1"/>
  <headerFooter>
    <oddFooter>&amp;C&amp;F: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  <pageSetUpPr fitToPage="1"/>
  </sheetPr>
  <dimension ref="A1:L12"/>
  <sheetViews>
    <sheetView zoomScaleNormal="100" zoomScaleSheetLayoutView="100" workbookViewId="0">
      <selection activeCell="D12" sqref="D12"/>
    </sheetView>
  </sheetViews>
  <sheetFormatPr defaultColWidth="9.140625" defaultRowHeight="15" x14ac:dyDescent="0.25"/>
  <cols>
    <col min="1" max="1" width="15.140625" style="33" customWidth="1"/>
    <col min="2" max="2" width="13.140625" style="33" customWidth="1"/>
    <col min="3" max="6" width="11.42578125" style="33" bestFit="1" customWidth="1"/>
    <col min="7" max="7" width="12.140625" style="33" customWidth="1"/>
    <col min="8" max="8" width="14.28515625" style="33" customWidth="1"/>
    <col min="9" max="9" width="18.140625" style="33" customWidth="1"/>
    <col min="10" max="10" width="13.5703125" style="33" customWidth="1"/>
    <col min="11" max="12" width="17.140625" style="33" customWidth="1"/>
    <col min="13" max="16384" width="9.140625" style="33"/>
  </cols>
  <sheetData>
    <row r="1" spans="1:12" customFormat="1" x14ac:dyDescent="0.25">
      <c r="A1" s="137" t="str">
        <f>"DR-3A: TAP Participants ("&amp;TEXT(TRR_Summary!H2,"Mmmm D, YYYY")&amp;" - "&amp;TEXT('Data Source'!K2,"Mmmm D, YYYY")&amp;")"</f>
        <v>DR-3A: TAP Participants (February 1, 2021 - December 31, 2021)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customFormat="1" x14ac:dyDescent="0.25">
      <c r="A2" s="56"/>
      <c r="B2" s="57">
        <v>2021</v>
      </c>
      <c r="C2" s="57">
        <v>2021</v>
      </c>
      <c r="D2" s="57">
        <v>2021</v>
      </c>
      <c r="E2" s="57">
        <v>2021</v>
      </c>
      <c r="F2" s="57">
        <v>2021</v>
      </c>
      <c r="G2" s="62">
        <v>2021</v>
      </c>
      <c r="H2" s="62">
        <v>2021</v>
      </c>
      <c r="I2" s="62">
        <v>2021</v>
      </c>
      <c r="J2" s="62">
        <v>2021</v>
      </c>
      <c r="K2" s="62">
        <v>2021</v>
      </c>
      <c r="L2" s="124">
        <v>2021</v>
      </c>
    </row>
    <row r="3" spans="1:12" customFormat="1" x14ac:dyDescent="0.25">
      <c r="A3" s="56"/>
      <c r="B3" s="57">
        <v>2</v>
      </c>
      <c r="C3" s="57">
        <v>3</v>
      </c>
      <c r="D3" s="57">
        <v>4</v>
      </c>
      <c r="E3" s="57">
        <v>5</v>
      </c>
      <c r="F3" s="57">
        <v>6</v>
      </c>
      <c r="G3" s="62">
        <v>7</v>
      </c>
      <c r="H3" s="62">
        <v>8</v>
      </c>
      <c r="I3" s="62">
        <v>9</v>
      </c>
      <c r="J3" s="62">
        <v>10</v>
      </c>
      <c r="K3" s="62">
        <v>11</v>
      </c>
      <c r="L3" s="124">
        <v>12</v>
      </c>
    </row>
    <row r="4" spans="1:12" ht="45" x14ac:dyDescent="0.25">
      <c r="A4" s="32" t="s">
        <v>14</v>
      </c>
      <c r="B4" s="61" t="str">
        <f t="shared" ref="B4:F4" si="0">TEXT(B3*29, "Mmmm")&amp;" "&amp;B2&amp;" Participants"</f>
        <v>February 2021 Participants</v>
      </c>
      <c r="C4" s="61" t="str">
        <f t="shared" si="0"/>
        <v>March 2021 Participants</v>
      </c>
      <c r="D4" s="61" t="str">
        <f t="shared" si="0"/>
        <v>April 2021 Participants</v>
      </c>
      <c r="E4" s="61" t="str">
        <f t="shared" si="0"/>
        <v>May 2021 Participants</v>
      </c>
      <c r="F4" s="61" t="str">
        <f t="shared" si="0"/>
        <v>June 2021 Participants</v>
      </c>
      <c r="G4" s="61" t="str">
        <f t="shared" ref="G4:K4" si="1">TEXT(G3*29, "Mmmm")&amp;" "&amp;G2&amp;" Participants"</f>
        <v>July 2021 Participants</v>
      </c>
      <c r="H4" s="61" t="str">
        <f t="shared" si="1"/>
        <v>August 2021 Participants</v>
      </c>
      <c r="I4" s="61" t="str">
        <f t="shared" si="1"/>
        <v>September 2021 Participants</v>
      </c>
      <c r="J4" s="61" t="str">
        <f t="shared" si="1"/>
        <v>October 2021 Participants</v>
      </c>
      <c r="K4" s="61" t="str">
        <f t="shared" si="1"/>
        <v>November 2021 Participants</v>
      </c>
      <c r="L4" s="61" t="str">
        <f t="shared" ref="L4" si="2">TEXT(L3*29, "Mmmm")&amp;" "&amp;L2&amp;" Participants"</f>
        <v>December 2021 Participants</v>
      </c>
    </row>
    <row r="5" spans="1:12" customFormat="1" x14ac:dyDescent="0.25">
      <c r="A5" s="64" t="s">
        <v>62</v>
      </c>
      <c r="B5" s="65">
        <v>4265</v>
      </c>
      <c r="C5" s="65">
        <v>4514</v>
      </c>
      <c r="D5" s="65">
        <v>4562</v>
      </c>
      <c r="E5" s="65">
        <v>4615</v>
      </c>
      <c r="F5" s="65">
        <v>4654</v>
      </c>
      <c r="G5" s="65">
        <v>4679</v>
      </c>
      <c r="H5" s="65">
        <v>4656</v>
      </c>
      <c r="I5" s="65">
        <v>4469</v>
      </c>
      <c r="J5" s="65">
        <v>4739</v>
      </c>
      <c r="K5" s="65">
        <v>4750</v>
      </c>
      <c r="L5" s="65">
        <v>4816</v>
      </c>
    </row>
    <row r="6" spans="1:12" customFormat="1" x14ac:dyDescent="0.25">
      <c r="A6" s="64" t="s">
        <v>50</v>
      </c>
      <c r="B6" s="65">
        <v>0</v>
      </c>
      <c r="C6" s="65">
        <v>0</v>
      </c>
      <c r="D6" s="65">
        <v>0</v>
      </c>
      <c r="E6" s="65">
        <v>0</v>
      </c>
      <c r="F6" s="65">
        <v>0</v>
      </c>
      <c r="G6" s="65">
        <v>0</v>
      </c>
      <c r="H6" s="65">
        <v>0</v>
      </c>
      <c r="I6" s="65">
        <v>0</v>
      </c>
      <c r="J6" s="65">
        <v>0</v>
      </c>
      <c r="K6" s="65">
        <v>0</v>
      </c>
      <c r="L6" s="65">
        <v>0</v>
      </c>
    </row>
    <row r="7" spans="1:12" customFormat="1" x14ac:dyDescent="0.25">
      <c r="A7" s="64" t="s">
        <v>51</v>
      </c>
      <c r="B7" s="65">
        <v>0</v>
      </c>
      <c r="C7" s="65">
        <v>0</v>
      </c>
      <c r="D7" s="65">
        <v>0</v>
      </c>
      <c r="E7" s="65">
        <v>0</v>
      </c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65">
        <v>0</v>
      </c>
      <c r="L7" s="65">
        <v>0</v>
      </c>
    </row>
    <row r="8" spans="1:12" customFormat="1" x14ac:dyDescent="0.25">
      <c r="A8" s="66" t="s">
        <v>80</v>
      </c>
      <c r="B8" s="67">
        <v>11545</v>
      </c>
      <c r="C8" s="67">
        <v>12156</v>
      </c>
      <c r="D8" s="67">
        <v>12175</v>
      </c>
      <c r="E8" s="67">
        <v>12151</v>
      </c>
      <c r="F8" s="67">
        <v>12071</v>
      </c>
      <c r="G8" s="67">
        <v>12083</v>
      </c>
      <c r="H8" s="67">
        <v>12046</v>
      </c>
      <c r="I8" s="67">
        <v>11383</v>
      </c>
      <c r="J8" s="67">
        <v>12259</v>
      </c>
      <c r="K8" s="67">
        <v>12278</v>
      </c>
      <c r="L8" s="67">
        <v>12332</v>
      </c>
    </row>
    <row r="9" spans="1:12" x14ac:dyDescent="0.25">
      <c r="A9" s="33" t="s">
        <v>43</v>
      </c>
      <c r="B9" s="36">
        <f t="shared" ref="B9:K9" si="3">SUM(B5:B8)</f>
        <v>15810</v>
      </c>
      <c r="C9" s="36">
        <f t="shared" si="3"/>
        <v>16670</v>
      </c>
      <c r="D9" s="36">
        <f t="shared" si="3"/>
        <v>16737</v>
      </c>
      <c r="E9" s="36">
        <f t="shared" si="3"/>
        <v>16766</v>
      </c>
      <c r="F9" s="36">
        <f t="shared" si="3"/>
        <v>16725</v>
      </c>
      <c r="G9" s="36">
        <f t="shared" si="3"/>
        <v>16762</v>
      </c>
      <c r="H9" s="36">
        <f t="shared" si="3"/>
        <v>16702</v>
      </c>
      <c r="I9" s="36">
        <f t="shared" si="3"/>
        <v>15852</v>
      </c>
      <c r="J9" s="36">
        <f t="shared" si="3"/>
        <v>16998</v>
      </c>
      <c r="K9" s="36">
        <f t="shared" si="3"/>
        <v>17028</v>
      </c>
      <c r="L9" s="36">
        <f t="shared" ref="L9" si="4">SUM(L5:L8)</f>
        <v>17148</v>
      </c>
    </row>
    <row r="11" spans="1:12" x14ac:dyDescent="0.25">
      <c r="A11" t="s">
        <v>65</v>
      </c>
    </row>
    <row r="12" spans="1:12" x14ac:dyDescent="0.25">
      <c r="A12" s="33" t="s">
        <v>66</v>
      </c>
    </row>
  </sheetData>
  <mergeCells count="1">
    <mergeCell ref="A1:L1"/>
  </mergeCells>
  <pageMargins left="0.7" right="0.7" top="0.75" bottom="0.75" header="0.3" footer="0.3"/>
  <pageSetup scale="77" orientation="landscape" r:id="rId1"/>
  <headerFooter>
    <oddFooter>&amp;C&amp;F: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F91CE2-F421-47A5-A2BD-C4C2FCCC7E95}"/>
</file>

<file path=customXml/itemProps2.xml><?xml version="1.0" encoding="utf-8"?>
<ds:datastoreItem xmlns:ds="http://schemas.openxmlformats.org/officeDocument/2006/customXml" ds:itemID="{033C6C58-38A0-4161-8746-DDD135EEE4D8}"/>
</file>

<file path=customXml/itemProps3.xml><?xml version="1.0" encoding="utf-8"?>
<ds:datastoreItem xmlns:ds="http://schemas.openxmlformats.org/officeDocument/2006/customXml" ds:itemID="{CE5AF8C9-9001-44BE-B9B2-02FAF14C6A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Cover</vt:lpstr>
      <vt:lpstr>Table of Contents</vt:lpstr>
      <vt:lpstr>TRR_Summary</vt:lpstr>
      <vt:lpstr>TRR_Assumptions</vt:lpstr>
      <vt:lpstr>TRR_Projections</vt:lpstr>
      <vt:lpstr>Data Source</vt:lpstr>
      <vt:lpstr>DR_1</vt:lpstr>
      <vt:lpstr>DR_2</vt:lpstr>
      <vt:lpstr>DR_3A Participants</vt:lpstr>
      <vt:lpstr>DR_4</vt:lpstr>
      <vt:lpstr>Cover!Print_Area</vt:lpstr>
      <vt:lpstr>'Data Source'!Print_Area</vt:lpstr>
      <vt:lpstr>DR_1!Print_Area</vt:lpstr>
      <vt:lpstr>DR_2!Print_Area</vt:lpstr>
      <vt:lpstr>'DR_3A Participants'!Print_Area</vt:lpstr>
      <vt:lpstr>DR_4!Print_Area</vt:lpstr>
      <vt:lpstr>'Table of Contents'!Print_Area</vt:lpstr>
      <vt:lpstr>TRR_Assumptions!Print_Area</vt:lpstr>
      <vt:lpstr>TRR_Projections!Print_Area</vt:lpstr>
      <vt:lpstr>DR_1!Print_Titles</vt:lpstr>
      <vt:lpstr>DR_2!Print_Titles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marcellawigg</dc:creator>
  <cp:lastModifiedBy>Brittany Baporis</cp:lastModifiedBy>
  <cp:lastPrinted>2021-03-10T13:44:54Z</cp:lastPrinted>
  <dcterms:created xsi:type="dcterms:W3CDTF">2017-11-15T18:58:43Z</dcterms:created>
  <dcterms:modified xsi:type="dcterms:W3CDTF">2022-02-22T14:51:22Z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</Properties>
</file>