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8184" tabRatio="772" activeTab="6"/>
  </bookViews>
  <sheets>
    <sheet name="Notice to Recipients-Users" sheetId="1" r:id="rId1"/>
    <sheet name="Table C-1" sheetId="2" r:id="rId2"/>
    <sheet name="C-3 Receipts Existing Rates" sheetId="3" r:id="rId3"/>
    <sheet name="Table C-6 O&amp;M Expense" sheetId="4" r:id="rId4"/>
    <sheet name="C-7,8,9 CIP - Debt Service" sheetId="5" r:id="rId5"/>
    <sheet name="C-2 Summary" sheetId="6" r:id="rId6"/>
    <sheet name="Sheet1" sheetId="7" r:id="rId7"/>
  </sheets>
  <externalReferences>
    <externalReference r:id="rId10"/>
    <externalReference r:id="rId11"/>
    <externalReference r:id="rId12"/>
    <externalReference r:id="rId13"/>
    <externalReference r:id="rId14"/>
  </externalReferences>
  <definedNames>
    <definedName name="BYR">'[1]Home'!$A$4</definedName>
    <definedName name="Capitalized_Interest_Length">'[1]Assumption #s'!$A$503:$A$508</definedName>
    <definedName name="CBWorkbookPriority">-975096245</definedName>
    <definedName name="CIP_Esc">'[1]Assumption #s'!$A$1496:$A$1498</definedName>
    <definedName name="CIP_Lookup">'[1]Assumption #s'!$A$1496:$B$1498</definedName>
    <definedName name="Criticality_Scale">'[1]Capital Projects'!$Y$12:$Y$16</definedName>
    <definedName name="Customer_Classes">'[1]Assumption #s'!$A$524:$A$530</definedName>
    <definedName name="Customer_List">'[1]Assumption #s'!$A$25:$A$31</definedName>
    <definedName name="Dashboard_Utility">'[1]Dashboard'!$BA$114:$BA$116</definedName>
    <definedName name="Funds">'[1]Funds'!$B$348:$B$353</definedName>
    <definedName name="Meter_Sizes">'[1]Assumption #s'!$A$548:$A$560</definedName>
    <definedName name="OM_Escalation">'[1]Assumption #s'!$A$485:$A$499</definedName>
    <definedName name="OM_Utility">'[1]Direct O&amp;M'!$AG$15:$AG$17</definedName>
    <definedName name="_xlnm.Print_Area" localSheetId="5">'C-2 Summary'!$B$2:$M$93</definedName>
    <definedName name="_xlnm.Print_Area" localSheetId="2">'C-3 Receipts Existing Rates'!$B$2:$O$69</definedName>
    <definedName name="_xlnm.Print_Area" localSheetId="4">'C-7,8,9 CIP - Debt Service'!$B$2:$O$41,'C-7,8,9 CIP - Debt Service'!$B$51:$O$159,'C-7,8,9 CIP - Debt Service'!$B$169:$O$224</definedName>
    <definedName name="_xlnm.Print_Area" localSheetId="6">'Sheet1'!$A$1:$E$28</definedName>
    <definedName name="_xlnm.Print_Area" localSheetId="1">'Table C-1'!$B$12:$P$155</definedName>
    <definedName name="_xlnm.Print_Area" localSheetId="3">'Table C-6 O&amp;M Expense'!$B$2:$N$62</definedName>
    <definedName name="_xlnm.Print_Titles" localSheetId="5">'C-2 Summary'!$7:$12</definedName>
    <definedName name="_xlnm.Print_Titles" localSheetId="2">'C-3 Receipts Existing Rates'!$8:$12</definedName>
    <definedName name="_xlnm.Print_Titles" localSheetId="1">'Table C-1'!$1:$11</definedName>
    <definedName name="_xlnm.Print_Titles" localSheetId="3">'Table C-6 O&amp;M Expense'!$7:$11</definedName>
    <definedName name="TABLE_1" localSheetId="1">'Table C-1'!#REF!</definedName>
    <definedName name="TABLE_10" localSheetId="1">'Table C-1'!#REF!</definedName>
    <definedName name="TABLE_11" localSheetId="1">'Table C-1'!#REF!</definedName>
    <definedName name="TABLE_11">#REF!</definedName>
    <definedName name="TABLE_12" localSheetId="1">'Table C-1'!#REF!</definedName>
    <definedName name="TABLE_13" localSheetId="1">'Table C-1'!#REF!</definedName>
    <definedName name="TABLE_14" localSheetId="1">'Table C-1'!#REF!</definedName>
    <definedName name="TABLE_2" localSheetId="1">'Table C-1'!#REF!</definedName>
    <definedName name="TABLE_26" localSheetId="1">'Table C-1'!#REF!</definedName>
    <definedName name="TABLE_3" localSheetId="1">'Table C-1'!#REF!</definedName>
    <definedName name="TABLE_4" localSheetId="1">'Table C-1'!#REF!</definedName>
    <definedName name="TABLE_5" localSheetId="1">'Table C-1'!#REF!</definedName>
    <definedName name="TABLE_6" localSheetId="1">'Table C-1'!#REF!</definedName>
    <definedName name="TABLE_6B" localSheetId="1">'Table C-1'!#REF!</definedName>
    <definedName name="TABLE_7" localSheetId="1">'Table C-1'!#REF!</definedName>
    <definedName name="TABLE_8" localSheetId="1">'Table C-1'!#REF!</definedName>
    <definedName name="TABLE_9" localSheetId="1">'Table C-1'!#REF!</definedName>
    <definedName name="TYR">'[1]Home'!$A$5</definedName>
    <definedName name="Z_Account_List">'[1]Assumption #s'!$A$15:$A$19</definedName>
    <definedName name="Z_Account_Lookup">'[1]Assumption #s'!$A$15:$S$20</definedName>
    <definedName name="Z_Chart_rev_SelChart">CHOOSE('[1]Dashboard Data'!$K$309,Z_Dash_Rev_Chart1,Z_Dash_Rev_Chart2)</definedName>
    <definedName name="Z_Dash_Rev_Chart1">'[1]Dashboard Data'!$K$270:$X$283</definedName>
    <definedName name="Z_Dash_Rev_Chart2">'[1]Dashboard Data'!$K$286:$X$299</definedName>
    <definedName name="Z_OM_Adj1">'[1]O&amp;M Adjustments'!$A$11</definedName>
    <definedName name="Z_OM_Adj10">'[1]O&amp;M Adjustments'!$A$20</definedName>
    <definedName name="Z_OM_Adj11">'[1]O&amp;M Adjustments'!$A$21</definedName>
    <definedName name="Z_OM_Adj2">'[1]O&amp;M Adjustments'!$A$12</definedName>
    <definedName name="Z_OM_Adj3">'[1]O&amp;M Adjustments'!$A$13</definedName>
    <definedName name="Z_OM_Adj4">'[1]O&amp;M Adjustments'!$A$14</definedName>
    <definedName name="Z_OM_Adj5">'[1]O&amp;M Adjustments'!$A$15</definedName>
    <definedName name="Z_OM_Adj6">'[1]O&amp;M Adjustments'!$A$16</definedName>
    <definedName name="Z_OM_Adj7">'[1]O&amp;M Adjustments'!$A$17</definedName>
    <definedName name="Z_OM_Adj8">'[1]O&amp;M Adjustments'!$A$18</definedName>
    <definedName name="Z_OM_Adj9">'[1]O&amp;M Adjustments'!$A$19</definedName>
    <definedName name="Z_SLE">'[1]Direct O&amp;M'!$K$522</definedName>
    <definedName name="Z_Volume_List">'[1]Assumption #s'!$A$25:$A$31</definedName>
    <definedName name="Z_Volume_Lookup">'[1]Assumption #s'!$A$25:$R$32</definedName>
    <definedName name="Z_Year_Lookup">'[1]Assumption #s'!$C$13:$R$14</definedName>
    <definedName name="zCIPCrit">'[1]Dashboard'!$G$14</definedName>
    <definedName name="zDashDebt">'[1]Dashboard'!$D$18</definedName>
    <definedName name="zDashDebt_2">'[1]Dashboard'!$D$21</definedName>
    <definedName name="zDashDebt_3">'[1]Dashboard'!$D$24</definedName>
    <definedName name="zDashSelect">'[1]CF Data'!$A$314</definedName>
    <definedName name="zDashStab">'[1]Dashboard'!$D$61</definedName>
    <definedName name="zPaste">'[1]Dashboard Storage'!$B$680</definedName>
    <definedName name="zRate">'[1]Dashboard'!$D$57</definedName>
    <definedName name="zTran">'[1]Dashboard'!$D$35</definedName>
  </definedNames>
  <calcPr fullCalcOnLoad="1" iterate="1" iterateCount="100" iterateDelta="0.001"/>
</workbook>
</file>

<file path=xl/sharedStrings.xml><?xml version="1.0" encoding="utf-8"?>
<sst xmlns="http://schemas.openxmlformats.org/spreadsheetml/2006/main" count="967" uniqueCount="470">
  <si>
    <t>Description</t>
  </si>
  <si>
    <t>TABLE C-2</t>
  </si>
  <si>
    <t>TABLE C-3: PROJECTED RECEIPTS UNDER EXISTING RATES</t>
  </si>
  <si>
    <t>TABLE C-7: PROJECTED CAPITAL IMPROVEMENT PROGRAM</t>
  </si>
  <si>
    <t>TABLE C-9: SUMMARY OF EXISTING AND PROPOSED DEBT SERVICE</t>
  </si>
  <si>
    <t>(in thousands of dollars)</t>
  </si>
  <si>
    <t>Line</t>
  </si>
  <si>
    <t>OPERATING REVENUE</t>
  </si>
  <si>
    <t>Water Service - Existing Rates</t>
  </si>
  <si>
    <t>Wastewater Service - Existing Rates</t>
  </si>
  <si>
    <t>Total Service Revenue - Existing Rates</t>
  </si>
  <si>
    <t>Months</t>
  </si>
  <si>
    <t>Year</t>
  </si>
  <si>
    <t>Increase</t>
  </si>
  <si>
    <t>Effective</t>
  </si>
  <si>
    <t>FY 2021</t>
  </si>
  <si>
    <t>FY 2022</t>
  </si>
  <si>
    <t>FY 2023</t>
  </si>
  <si>
    <t>Total Additional Service Revenue Required</t>
  </si>
  <si>
    <t>Total Water &amp; Wastewater Service Revenue</t>
  </si>
  <si>
    <t>Other Operating Revenue</t>
  </si>
  <si>
    <t>Debt Reserve Fund Interest Income</t>
  </si>
  <si>
    <t>Operating Fund Interest Income</t>
  </si>
  <si>
    <t>Rate Stabilization Interest Income</t>
  </si>
  <si>
    <t>Total Revenues</t>
  </si>
  <si>
    <t>OPERATING EXPENSES</t>
  </si>
  <si>
    <t>Total Operating Expenses</t>
  </si>
  <si>
    <t>NET REVENUES</t>
  </si>
  <si>
    <t>Transfer From/(To) Rate Stabilization Fund</t>
  </si>
  <si>
    <t>NET REVENUES AFTER OPERATIONS</t>
  </si>
  <si>
    <t>DEBT SERVICE</t>
  </si>
  <si>
    <t>Outstanding Bonds</t>
  </si>
  <si>
    <t>Pennvest Parity Bonds</t>
  </si>
  <si>
    <t>Projected Future Bonds</t>
  </si>
  <si>
    <t>Total Senior Debt Service</t>
  </si>
  <si>
    <t>Subordinate Debt Service</t>
  </si>
  <si>
    <t>Transfer to Escrow</t>
  </si>
  <si>
    <t>Total Debt Service on Bonds</t>
  </si>
  <si>
    <t>CAPITAL ACCOUNT DEPOSIT</t>
  </si>
  <si>
    <t>RESIDUAL FUND</t>
  </si>
  <si>
    <t>Beginning of Year Balance</t>
  </si>
  <si>
    <t>Interest Income</t>
  </si>
  <si>
    <t>Plus:</t>
  </si>
  <si>
    <t>End of Year Revenue Fund Balance</t>
  </si>
  <si>
    <t>Less:</t>
  </si>
  <si>
    <t>Transfer to Construction Fund</t>
  </si>
  <si>
    <t>Transfer to City General Fund</t>
  </si>
  <si>
    <t>Transfer to Debt Service Reserve Fund</t>
  </si>
  <si>
    <t>End of Year Balance</t>
  </si>
  <si>
    <t>RATE STABILIZATION FUND</t>
  </si>
  <si>
    <t>Deposit From/(To) Revenue Fund</t>
  </si>
  <si>
    <t>COMBINED UTILITY:  PROJECTED RATE STABILIZATION FUND</t>
  </si>
  <si>
    <t>Beginning Balance: Rate Stabilization Fund (a)</t>
  </si>
  <si>
    <t>Year-End Rate Stabilization Fund Balance  (Line 1 + Line 2)</t>
  </si>
  <si>
    <t>1989 General Bond Ordinance Covenants</t>
  </si>
  <si>
    <t>Insurance Covenants</t>
  </si>
  <si>
    <t>Cash Funding</t>
  </si>
  <si>
    <t>Water Sales Receipts</t>
  </si>
  <si>
    <t>Wastewater Sales Receipts</t>
  </si>
  <si>
    <t>Sanitary Sewer</t>
  </si>
  <si>
    <t>Stormwater</t>
  </si>
  <si>
    <t xml:space="preserve">  Subtotal Wastewater Service Receipts</t>
  </si>
  <si>
    <t>Total Water &amp; Wastewater Receipts</t>
  </si>
  <si>
    <t>Other Income</t>
  </si>
  <si>
    <t>Penalties</t>
  </si>
  <si>
    <t>Miscellaneous City Revenue</t>
  </si>
  <si>
    <t xml:space="preserve">Other </t>
  </si>
  <si>
    <t>State &amp; Federal Grants</t>
  </si>
  <si>
    <t>Permits Issued by L&amp;I</t>
  </si>
  <si>
    <t>Miscellaneous (Procurement)</t>
  </si>
  <si>
    <t>City &amp; UESF Grants</t>
  </si>
  <si>
    <t>Affordability Program Discount Cost (a)</t>
  </si>
  <si>
    <t>Other Operating Revenues</t>
  </si>
  <si>
    <t xml:space="preserve">  Debt Service Reserve Fund (c)</t>
  </si>
  <si>
    <t xml:space="preserve">  Operating Fund</t>
  </si>
  <si>
    <t xml:space="preserve">  Rate Stabilization Fund</t>
  </si>
  <si>
    <t xml:space="preserve">    Total Interest Income</t>
  </si>
  <si>
    <t xml:space="preserve">  Total Receipts</t>
  </si>
  <si>
    <t xml:space="preserve">(a) Affordability Program Discounts represent anticipated lost revenue due to the Tiered Assistance Program (TAP). </t>
  </si>
  <si>
    <t>(b) Projected Release from Debt Reserve Fund based on outstanding and proposed debt service payments.</t>
  </si>
  <si>
    <t>(c) Excludes deposit into Residual Fund for Transfer to City General Fund.</t>
  </si>
  <si>
    <t>Water and Wastewater Operations</t>
  </si>
  <si>
    <t>Personal Services</t>
  </si>
  <si>
    <t>Pension and Benefits</t>
  </si>
  <si>
    <t xml:space="preserve">    Subtotal</t>
  </si>
  <si>
    <t>Purchase of Services</t>
  </si>
  <si>
    <t>Power</t>
  </si>
  <si>
    <t>Gas</t>
  </si>
  <si>
    <t>SMIP/GARP</t>
  </si>
  <si>
    <t>Materials and Supplies</t>
  </si>
  <si>
    <t>Chemicals</t>
  </si>
  <si>
    <t>Other</t>
  </si>
  <si>
    <t>Equipment</t>
  </si>
  <si>
    <t>Indemnities and Transfers</t>
  </si>
  <si>
    <t>Subtotal Expenses</t>
  </si>
  <si>
    <t>Liquidated Encumbrances</t>
  </si>
  <si>
    <t>Total Expenses</t>
  </si>
  <si>
    <t>Engineering and Administration (a)</t>
  </si>
  <si>
    <t>Plant Improvements</t>
  </si>
  <si>
    <t>Distribution System Rehabilitation</t>
  </si>
  <si>
    <t>Large Meter Replacement</t>
  </si>
  <si>
    <t>Storm Flood Relief</t>
  </si>
  <si>
    <t>Reconstruction of Sewers</t>
  </si>
  <si>
    <t>Green Infrastructure</t>
  </si>
  <si>
    <t>Vehicles</t>
  </si>
  <si>
    <t xml:space="preserve">  Total Improvements</t>
  </si>
  <si>
    <t>Inflation Adjustment (b)</t>
  </si>
  <si>
    <t>Inflated Total</t>
  </si>
  <si>
    <t>Net Cash Financing Required</t>
  </si>
  <si>
    <t>Disposition of Bond Proceeds</t>
  </si>
  <si>
    <t xml:space="preserve">  Proceeds From Sale of Bonds</t>
  </si>
  <si>
    <t xml:space="preserve">  Transfers:</t>
  </si>
  <si>
    <t>Debt Reserve Fund (a)</t>
  </si>
  <si>
    <t>Cost of Bond Issuance (b)</t>
  </si>
  <si>
    <t>Construction Fund (c)</t>
  </si>
  <si>
    <t xml:space="preserve">      Total Issue</t>
  </si>
  <si>
    <t>Construction Fund</t>
  </si>
  <si>
    <t xml:space="preserve">  Beginning Balance</t>
  </si>
  <si>
    <t xml:space="preserve">  Transfer From Bond Proceeds</t>
  </si>
  <si>
    <t xml:space="preserve">  Capital Account Deposit</t>
  </si>
  <si>
    <t xml:space="preserve">  Penn Vest Loan</t>
  </si>
  <si>
    <t xml:space="preserve">  Transfer from Residual Fund</t>
  </si>
  <si>
    <t xml:space="preserve">  Interest Income on Construction Fund</t>
  </si>
  <si>
    <t xml:space="preserve">    Total Available</t>
  </si>
  <si>
    <t>Ending Balance</t>
  </si>
  <si>
    <t>Debt Reserve Fund</t>
  </si>
  <si>
    <t xml:space="preserve">  Debt Service Reserve Release</t>
  </si>
  <si>
    <t>Interest Income on Debt Reserve Fund</t>
  </si>
  <si>
    <t xml:space="preserve">Revenue Bonds </t>
  </si>
  <si>
    <t>Existing (a)</t>
  </si>
  <si>
    <t>Proposed</t>
  </si>
  <si>
    <t>Total Proposed</t>
  </si>
  <si>
    <t>Total Revenue Bonds</t>
  </si>
  <si>
    <t>Pennvest Loans</t>
  </si>
  <si>
    <t>TABLE C-1: PROJECTED REVENUE AND REVENUE REQUIREMENTS</t>
  </si>
  <si>
    <t>1a</t>
  </si>
  <si>
    <t>2a</t>
  </si>
  <si>
    <t>3a</t>
  </si>
  <si>
    <t>4a</t>
  </si>
  <si>
    <t>5a</t>
  </si>
  <si>
    <t>19a</t>
  </si>
  <si>
    <t>20a</t>
  </si>
  <si>
    <t>21a</t>
  </si>
  <si>
    <t>22a</t>
  </si>
  <si>
    <t>18a</t>
  </si>
  <si>
    <t>16a</t>
  </si>
  <si>
    <t>15a</t>
  </si>
  <si>
    <t>36a</t>
  </si>
  <si>
    <t>23a</t>
  </si>
  <si>
    <t>25a</t>
  </si>
  <si>
    <t>14a</t>
  </si>
  <si>
    <t>End- of year Balance in the Residual Fund</t>
  </si>
  <si>
    <t>Combined End- of year Balance</t>
  </si>
  <si>
    <t>User Input</t>
  </si>
  <si>
    <t>6a</t>
  </si>
  <si>
    <t>7a</t>
  </si>
  <si>
    <t>8a</t>
  </si>
  <si>
    <t>9a</t>
  </si>
  <si>
    <t>10a</t>
  </si>
  <si>
    <t>11a</t>
  </si>
  <si>
    <t>12a</t>
  </si>
  <si>
    <t>13a</t>
  </si>
  <si>
    <t>17a</t>
  </si>
  <si>
    <t>24a</t>
  </si>
  <si>
    <t>26a</t>
  </si>
  <si>
    <t>27a</t>
  </si>
  <si>
    <t>30a</t>
  </si>
  <si>
    <t>29a</t>
  </si>
  <si>
    <t>31a</t>
  </si>
  <si>
    <t>32a</t>
  </si>
  <si>
    <t>33a</t>
  </si>
  <si>
    <t>34a</t>
  </si>
  <si>
    <t>35a</t>
  </si>
  <si>
    <t>38a</t>
  </si>
  <si>
    <t>37a</t>
  </si>
  <si>
    <t>39a</t>
  </si>
  <si>
    <t>28a</t>
  </si>
  <si>
    <t xml:space="preserve">       Total Issue</t>
  </si>
  <si>
    <t>Calc %</t>
  </si>
  <si>
    <t>Net Additional Service Revenue Required</t>
  </si>
  <si>
    <t>From CIP-Debt Service</t>
  </si>
  <si>
    <t>User Calculated</t>
  </si>
  <si>
    <t>Lines 3+8+11+12+13</t>
  </si>
  <si>
    <t>Lines 14+15</t>
  </si>
  <si>
    <t>Lines 14a+15a</t>
  </si>
  <si>
    <t>Lines 9+10</t>
  </si>
  <si>
    <t>Lines 9a+10a</t>
  </si>
  <si>
    <t>Lines 4+5+6+7</t>
  </si>
  <si>
    <t>Lines 1+2</t>
  </si>
  <si>
    <t>Lines 1a+2a</t>
  </si>
  <si>
    <t>Lines 1 thru 8</t>
  </si>
  <si>
    <t>Lines 11+12</t>
  </si>
  <si>
    <t>Cash Funded Capital Ratio (j)</t>
  </si>
  <si>
    <t>Cash Funded Required</t>
  </si>
  <si>
    <t>Less: Residual Fund Deposits</t>
  </si>
  <si>
    <t>Equals: Capital Account Deposits</t>
  </si>
  <si>
    <t>A</t>
  </si>
  <si>
    <t>B</t>
  </si>
  <si>
    <t>C</t>
  </si>
  <si>
    <t>D</t>
  </si>
  <si>
    <t>E</t>
  </si>
  <si>
    <t>Equals C + D</t>
  </si>
  <si>
    <t>Capital Account Deposit Calculation - User</t>
  </si>
  <si>
    <t>From O&amp;M Expense, User</t>
  </si>
  <si>
    <t>Lines 18+26+27</t>
  </si>
  <si>
    <t>Subtotal</t>
  </si>
  <si>
    <t>Other Op Revenue, DSRF + Operating + RSF Interest</t>
  </si>
  <si>
    <t>Net Revenue Needs</t>
  </si>
  <si>
    <t>Source</t>
  </si>
  <si>
    <t>From PWD</t>
  </si>
  <si>
    <t>4a+5a+6a+7a</t>
  </si>
  <si>
    <t>3a+8a+11a+12a+13a</t>
  </si>
  <si>
    <t>Equals prior line</t>
  </si>
  <si>
    <t>5b</t>
  </si>
  <si>
    <t>Net Change in Total Water &amp; Wastewater Receipts</t>
  </si>
  <si>
    <t>Equals A times B</t>
  </si>
  <si>
    <t>RED FIGURES</t>
  </si>
  <si>
    <t>Lines 2+3</t>
  </si>
  <si>
    <t>Lines 2a+3a</t>
  </si>
  <si>
    <t>Lines 1+4</t>
  </si>
  <si>
    <t>Lines 1a+4a</t>
  </si>
  <si>
    <t>Lines 6 thru 14</t>
  </si>
  <si>
    <t>Lines 6a thru 14a</t>
  </si>
  <si>
    <t>Lines 5+15+19</t>
  </si>
  <si>
    <t>Lines 5a+15a+19a</t>
  </si>
  <si>
    <t>User Calculated Below</t>
  </si>
  <si>
    <t>From O&amp;M Expense, PWD</t>
  </si>
  <si>
    <t>From CIP-Debt Service, PWD</t>
  </si>
  <si>
    <t>32x</t>
  </si>
  <si>
    <t>32xa</t>
  </si>
  <si>
    <t>Opening from PWD, then prior yr end</t>
  </si>
  <si>
    <t>Calculation of Additional Service Revenue Required:</t>
  </si>
  <si>
    <t>6b</t>
  </si>
  <si>
    <t>7b</t>
  </si>
  <si>
    <t>8b</t>
  </si>
  <si>
    <t>Interest Rate</t>
  </si>
  <si>
    <t>FY 2024</t>
  </si>
  <si>
    <t>FY 2025</t>
  </si>
  <si>
    <t>TABLE C-8: PROJECTED FLOW OF FUNDS - CONSTRUCTION FUND &amp; DEBT RESERVE ACCOUNT</t>
  </si>
  <si>
    <t>Bond Size</t>
  </si>
  <si>
    <t>From CIP-Debt Ser</t>
  </si>
  <si>
    <t>Change in Residual Fund</t>
  </si>
  <si>
    <t>Line 12 - 13</t>
  </si>
  <si>
    <t>From PWD; then prior year</t>
  </si>
  <si>
    <t>Line No.</t>
  </si>
  <si>
    <t>Notes</t>
  </si>
  <si>
    <t xml:space="preserve">AND PERFORMANCE VS COVENANTS </t>
  </si>
  <si>
    <t>(All amounts in thousands of dollars except for coverages and percentages)</t>
  </si>
  <si>
    <t>Lines 2 through 6</t>
  </si>
  <si>
    <t>Lines 2a through 6a</t>
  </si>
  <si>
    <t>Lines 1 + 7</t>
  </si>
  <si>
    <t>Lines 1a + 7a</t>
  </si>
  <si>
    <t>Rollforward Adjustments</t>
  </si>
  <si>
    <t>Total Inflated Adjusted CIP Budget</t>
  </si>
  <si>
    <t>Contingency Adjustment</t>
  </si>
  <si>
    <t>Annual Encumbrances</t>
  </si>
  <si>
    <t>Refund Commercial Paper</t>
  </si>
  <si>
    <t>Disposition of Commercial Paper</t>
  </si>
  <si>
    <t xml:space="preserve">  Proceeds From Commercial Paper</t>
  </si>
  <si>
    <t xml:space="preserve">  Transfer From Commercial Paper Proceeds</t>
  </si>
  <si>
    <t>Capital Program Net Encumbrances</t>
  </si>
  <si>
    <t xml:space="preserve">  Annual Encumbrances</t>
  </si>
  <si>
    <t xml:space="preserve">  Project Expenses</t>
  </si>
  <si>
    <t>Allowance Commitments Prior to Bond Issue</t>
  </si>
  <si>
    <t>Target Balance</t>
  </si>
  <si>
    <t>Commercial Paper</t>
  </si>
  <si>
    <t xml:space="preserve">Fiscal Year 2022 (b) </t>
  </si>
  <si>
    <t xml:space="preserve">Fiscal Year 2023 (c) </t>
  </si>
  <si>
    <t xml:space="preserve">Fiscal Year 2024 (c) </t>
  </si>
  <si>
    <t xml:space="preserve">Fiscal Year 2025 (c) </t>
  </si>
  <si>
    <t>Fiscal Year 2021</t>
  </si>
  <si>
    <t xml:space="preserve">Fiscal Year 2026 (c) </t>
  </si>
  <si>
    <t>Project Expenses (c)</t>
  </si>
  <si>
    <t>FY2026</t>
  </si>
  <si>
    <t>Lines 20a+21a</t>
  </si>
  <si>
    <t>From PWD, lines 28+29+30</t>
  </si>
  <si>
    <t>Lines 13+14</t>
  </si>
  <si>
    <t>Annual Net Encumbrances</t>
  </si>
  <si>
    <t>Line 15 minus 16</t>
  </si>
  <si>
    <t>Adjustment to Project Expenses</t>
  </si>
  <si>
    <t>Adjusted Project Expenses</t>
  </si>
  <si>
    <t>16b</t>
  </si>
  <si>
    <t>Lines 16+16a</t>
  </si>
  <si>
    <t>Lines 8 + 9 + 10</t>
  </si>
  <si>
    <t>Lines 8a + 9a +10a</t>
  </si>
  <si>
    <t>Senior Debt Coverage (c)</t>
  </si>
  <si>
    <t>Total Debt Coverage  (d)</t>
  </si>
  <si>
    <t>Senior Debt Coverage from Current Revenues (e)</t>
  </si>
  <si>
    <t>Cash Funded Capital (i)</t>
  </si>
  <si>
    <t>O&amp;M Actual to Budget Ratio</t>
  </si>
  <si>
    <t xml:space="preserve">(a) FY 2021 beginning balance is estimated based on FY 2020 preliminary financial results. </t>
  </si>
  <si>
    <t>(d) Total Debt Coverage = (Total Revenues - Operating Expenses + Rate Stabilization Transfer) divided by (Senior Debt + Subordinate Debt + Capital Account Deposit). The General Bond Ordinance requires the minimum Total Debt Service Coverage of 1.00.</t>
  </si>
  <si>
    <t>(e) Senior Debt Coverage from Current Revenues  = (Total Revenues ‐ Operating Expenses ‐ Transfer to Rate Stabilization Fund) divided by Senior Debt. Transfers from Rate Stabilization are excluded from the Total Revenues. The General Bond Ordinance requires a minimum Senior Debt Service Coverage of 0.90 from Current Revenues.</t>
  </si>
  <si>
    <t>(g) Total Revenues includes service to the City as required by the 1989 General Ordinance rate covenants.</t>
  </si>
  <si>
    <t xml:space="preserve">(h) Rate Ordinance requires that Total Revenues not exceed Total Appropriations.  </t>
  </si>
  <si>
    <t>(i) Cash Funded Capital = Capital Account Deposit + Residual Transfer to Construction Fund</t>
  </si>
  <si>
    <t>(j) Cash Funded Capital Ratio = Cash Funded Capital divided by Capital Improvement Program annual expenses.</t>
  </si>
  <si>
    <t>Rate Ordinance Requirements</t>
  </si>
  <si>
    <t>Projected O&amp;M Budget (f)</t>
  </si>
  <si>
    <t>Projected Total Appropriations (g)</t>
  </si>
  <si>
    <t>Projected Total Revenues (g)</t>
  </si>
  <si>
    <t>(a) Reflects shift in capital related salary costs from capital to operating budget.</t>
  </si>
  <si>
    <t>(b) Allowance for inflation of 3.0 percent per year after fiscal year 2022.</t>
  </si>
  <si>
    <t>(c) Reflects annual drawdown of capital budget appropriations based on project durations and annual encumbrances.</t>
  </si>
  <si>
    <t xml:space="preserve">          (a) Amount of Debt Reserve Fund estimated based on outstanding and proposed debt service payments.</t>
  </si>
  <si>
    <t xml:space="preserve">          (b) Cost of bonds issuance assumed at 0.65 percent of issue amount.  </t>
  </si>
  <si>
    <t xml:space="preserve">          (c) Deposits equal proceeds from sale of bonds less transfers to Debt Reserve Fund and Costs of Issuance.</t>
  </si>
  <si>
    <t>(d) Includes projected Pennvest Loan for the Torresdale Pump Station Rehabilitation.</t>
  </si>
  <si>
    <t>Pennvest Loans - Parity Pennvest (d)</t>
  </si>
  <si>
    <t>Total Water &amp; Wastewater Service Revenue (a)</t>
  </si>
  <si>
    <t>11x</t>
  </si>
  <si>
    <t>11xa</t>
  </si>
  <si>
    <t>34x</t>
  </si>
  <si>
    <t>34xa</t>
  </si>
  <si>
    <t>40a</t>
  </si>
  <si>
    <t>41a</t>
  </si>
  <si>
    <t>Total Operating Expenses, 17a</t>
  </si>
  <si>
    <t>Total Senior Debt Service, 24a</t>
  </si>
  <si>
    <t>CAPITAL ACCOUNT DEPOSIT, 29a</t>
  </si>
  <si>
    <t>Transfer to Construction Fund, 35a</t>
  </si>
  <si>
    <t>Transfer to Escrow, 27a</t>
  </si>
  <si>
    <t>Deposit From/(To) Revenue Fund, 40a</t>
  </si>
  <si>
    <t>Total Additional Service Revenue Required, 10a</t>
  </si>
  <si>
    <t>Deposit for Transfer to City General Fund (b)</t>
  </si>
  <si>
    <t>Beginning of Year Balance (c)</t>
  </si>
  <si>
    <t>TOTAL SENIOR DEBT SERVICE COVERAGE (L19/L24)</t>
  </si>
  <si>
    <t>Line 19/Line 24</t>
  </si>
  <si>
    <t>Line 19a/Line 24a</t>
  </si>
  <si>
    <t>Lines 20+21+22+23</t>
  </si>
  <si>
    <t>Lines 20a+21a+22a+23a</t>
  </si>
  <si>
    <t>Lines 16+17+18</t>
  </si>
  <si>
    <t>Lines 16a+17a+18a</t>
  </si>
  <si>
    <t>Lines 24+26+27</t>
  </si>
  <si>
    <t>Lines 24a+26a+27a</t>
  </si>
  <si>
    <t>Line 19/(Line 24+Line 26+Line 29)</t>
  </si>
  <si>
    <t>Line 19a/(Line 24a+Line 26a+Line 29a)</t>
  </si>
  <si>
    <t>TOTAL COVERAGE (L19/(L24+L26+L29))</t>
  </si>
  <si>
    <t>Lines 11+11x+12+13+14+15</t>
  </si>
  <si>
    <t>Lines 11a+11xa+12a+13a+14a+15a</t>
  </si>
  <si>
    <t>Lines 3+10</t>
  </si>
  <si>
    <t>Lines 4+5+6+7+8+9</t>
  </si>
  <si>
    <t>Equals line 32</t>
  </si>
  <si>
    <t>From 34 above</t>
  </si>
  <si>
    <t>From 34a above</t>
  </si>
  <si>
    <t>Lines 31+32+32x+33+34+34x+35+36+37</t>
  </si>
  <si>
    <t>Lines 31a+32a+32xa+33a+34a+34xa+35a+36a+37a</t>
  </si>
  <si>
    <t>Line 18, From PWD</t>
  </si>
  <si>
    <t>From line 18a</t>
  </si>
  <si>
    <t>Lines 39+40</t>
  </si>
  <si>
    <t>Lines 39a+40a</t>
  </si>
  <si>
    <t>Equals line 13a</t>
  </si>
  <si>
    <t>Lines 2+3+4+5</t>
  </si>
  <si>
    <t>Lines 2a+3a+4a+5a</t>
  </si>
  <si>
    <t>Lines 12+13+14+15+16+17+18</t>
  </si>
  <si>
    <t>PWD, equals C-7, line 16</t>
  </si>
  <si>
    <t>Equals C-8, line 17a</t>
  </si>
  <si>
    <t>Equals C-8, 20a</t>
  </si>
  <si>
    <t>TABLE C-6: PROJECTED OPERATION AND MAINTENANCE EXPENSE</t>
  </si>
  <si>
    <t>Line 5a - line 5</t>
  </si>
  <si>
    <t>Line 16+17+18</t>
  </si>
  <si>
    <t>Equals lines 8+9+10</t>
  </si>
  <si>
    <t>Equals lines 8a+9a+10a</t>
  </si>
  <si>
    <t>Equals Table C-7, line 16b</t>
  </si>
  <si>
    <t>Equals line 10</t>
  </si>
  <si>
    <t>Equals line 10a</t>
  </si>
  <si>
    <t>Equals line 2</t>
  </si>
  <si>
    <t>Equals line 2a</t>
  </si>
  <si>
    <t>Placeholder, not used</t>
  </si>
  <si>
    <t xml:space="preserve">  Beginning in FY 2019, TAP Revenue Loss are recovered via the TAP Rate Rider Surcharge.</t>
  </si>
  <si>
    <t>Release from Debt Service Reserve (b)</t>
  </si>
  <si>
    <t>From CIP-Debt Service, User Input</t>
  </si>
  <si>
    <t>Opening Balance from PWD, then prior year ending</t>
  </si>
  <si>
    <t>From PWD, placeholder not used</t>
  </si>
  <si>
    <t>Equals line 32x, placeholder not used</t>
  </si>
  <si>
    <t>Equals line 34</t>
  </si>
  <si>
    <t>Other Income (a)</t>
  </si>
  <si>
    <t>Cost of Issuance (b)</t>
  </si>
  <si>
    <t>(b) See Line 18 in Table C-1A.</t>
  </si>
  <si>
    <t>Board Rate Stabilization Fund Target in the previous Rate Proceeding: 150,000 Combined</t>
  </si>
  <si>
    <r>
      <t xml:space="preserve">Transfers </t>
    </r>
    <r>
      <rPr>
        <b/>
        <sz val="11"/>
        <rFont val="Calibri"/>
        <family val="2"/>
      </rPr>
      <t>From (To)</t>
    </r>
    <r>
      <rPr>
        <sz val="11"/>
        <rFont val="Calibri"/>
        <family val="2"/>
      </rPr>
      <t xml:space="preserve"> </t>
    </r>
    <r>
      <rPr>
        <sz val="10"/>
        <rFont val="Calibri"/>
        <family val="2"/>
      </rPr>
      <t>Revenue Fund (b)</t>
    </r>
  </si>
  <si>
    <t>(c) Senior Debt Coverage = (Total Revenues - Operating Expenses + Transfer From (to) Rate Stabilization) divided by Total Senior Debt Service. The General Bond Ordinance requires the minimum Senior Debt Service Coverage of 1.20.</t>
  </si>
  <si>
    <t>Year-End Rate Stabilization Fund Balance  (Line 1a + Line 2a)</t>
  </si>
  <si>
    <t>For (e) above, transfers from RSF are excluded, transfers to the RSF are deducted as calculated below:</t>
  </si>
  <si>
    <t>RSF Withdrawal (+) or Addition (-)</t>
  </si>
  <si>
    <t>Subtract only the additions</t>
  </si>
  <si>
    <t>(g) Total Appropriation = Total O&amp;M Budget + Senior Debt + Subordinate Debt + Transfer to Escrow + Capital Account Deposit + Transfer to Rate Stabilization Fund + Transfer to Residual Fund. Costs to service the City included as required by the General Bond Ordinance rate covenants. These figures are provided by PWD.</t>
  </si>
  <si>
    <t>(f) FY 2021 budget reflects the PWD adopted budget;  FY 2022 through FY 2026 budget reflects annual cost escalation factors. Provided by PWD.</t>
  </si>
  <si>
    <t>Cash Funded Capital Ratio</t>
  </si>
  <si>
    <t>6c</t>
  </si>
  <si>
    <t>Line 6: General Ordinance Coverage of 1.20</t>
  </si>
  <si>
    <t>Line 7: General Ordinance Coverage of 1.00</t>
  </si>
  <si>
    <t>Line 8: Insurance Minimum of 0.90</t>
  </si>
  <si>
    <t>Line 12 &gt; line 11: Rate Ordinance Requirement Compliance (h)</t>
  </si>
  <si>
    <t>Lines 3a+10a</t>
  </si>
  <si>
    <t>From Receipts Existing Rates</t>
  </si>
  <si>
    <t>TOTAL COVERAGE (L19a/(L24a+L26a+L29a))</t>
  </si>
  <si>
    <t>Line 6: Rate Board Policy in Previous Proceeding: Coverage of 1.30</t>
  </si>
  <si>
    <t>The Rate Board has provided this Model and Model Outline (the “Model”), which includes formulas and preloaded information, to facilitate participation in the 2021 General Rate Proceeding and the Board’s own consideration of participants’ proposals and comments. The City of Philadelphia owns the Model but makes no representations or warranties regarding the Model and its accuracy or completeness. The Model is provided “as is” and “with all faults.” Each participant is responsible for any testimony that involves the Model. The City grants a nonexclusive, revocable license to use the Model on the conditions that the direct or indirect recipient not use this Model, or permit its use, for commercial purposes, and not make any changes to the Model except to enter data solely in the cells marked for “User Input.” The City is not responsible for any defects, including computer viruses. The City is not responsible for any consequence of any recipient’s use of or reliance on the Model.</t>
  </si>
  <si>
    <t>RED TEXT with</t>
  </si>
  <si>
    <t>YELLOW BACKGROUND</t>
  </si>
  <si>
    <t>means USER INPUT</t>
  </si>
  <si>
    <r>
      <t xml:space="preserve">The Rate Board has provided this Model and Model Outline (the “Model”), which includes formulas and preloaded information, to facilitate participation in the 2021 General Rate Proceeding and the Board’s own consideration of participants’ proposals and comments. The City of Philadelphia owns the Model but makes no representations or warranties regarding the Model and its accuracy or completeness. The Model is provided “as is” and “with all faults.” Each participant is responsible for any testimony that involves the Model. The City grants a nonexclusive, revocable license to use the Model on the conditions that the direct or indirect recipient not use this Model, or permit its use, for commercial purposes, and </t>
    </r>
    <r>
      <rPr>
        <b/>
        <sz val="10"/>
        <color indexed="30"/>
        <rFont val="Calibri"/>
        <family val="2"/>
      </rPr>
      <t>not make any changes to the Model except to enter data solely in the cells marked for “User Input.”</t>
    </r>
    <r>
      <rPr>
        <sz val="10"/>
        <color indexed="30"/>
        <rFont val="Calibri"/>
        <family val="2"/>
      </rPr>
      <t xml:space="preserve"> The City is not responsible for any defects, including computer viruses. The City is not responsible for any consequence of any recipient’s use of or reliance on the Model.</t>
    </r>
  </si>
  <si>
    <r>
      <t xml:space="preserve">The Rate Board has provided this Model and Model Outline (the “Model”), which includes formulas and preloaded information, to facilitate participation in the 2021 General Rate Proceeding and the Board’s own consideration of participants’ proposals and comments. The City of Philadelphia owns the Model but makes no representations or warranties regarding the Model and its accuracy or completeness. The Model is provided “as is” and “with all faults.” Each participant is responsible for any testimony that involves the Model. The City grants a nonexclusive, revocable license to use the Model on the conditions that the direct or indirect recipient not use this Model, or permit its use, for commercial purposes, and not make any changes to the Model except to </t>
    </r>
    <r>
      <rPr>
        <b/>
        <sz val="10"/>
        <color indexed="30"/>
        <rFont val="Calibri"/>
        <family val="2"/>
      </rPr>
      <t>enter data solely in the cells marked for “User Input.”</t>
    </r>
    <r>
      <rPr>
        <sz val="10"/>
        <color indexed="30"/>
        <rFont val="Calibri"/>
        <family val="2"/>
      </rPr>
      <t xml:space="preserve"> The City is not responsible for any defects, including computer viruses. The City is not responsible for any consequence of any recipient’s use of or reliance on the Model.</t>
    </r>
  </si>
  <si>
    <t>See notes (a)-(d) on following page.</t>
  </si>
  <si>
    <t>See notes (a)-(j) on following page.</t>
  </si>
  <si>
    <t>See Notice to Recipients-Users Worksheet Regarding Use of the Model.  You may make changes only to orange-highlighted cells identified as "User Input."</t>
  </si>
  <si>
    <t>orange-highlighted cells with red type</t>
  </si>
  <si>
    <t xml:space="preserve">identified in the final column as </t>
  </si>
  <si>
    <t>User Input.</t>
  </si>
  <si>
    <r>
      <t xml:space="preserve">You may modify </t>
    </r>
    <r>
      <rPr>
        <b/>
        <u val="single"/>
        <sz val="14"/>
        <color indexed="8"/>
        <rFont val="Calibri"/>
        <family val="2"/>
      </rPr>
      <t>only</t>
    </r>
  </si>
  <si>
    <t>NOTICE TO RECIPIENTS - USERS</t>
  </si>
  <si>
    <t>RED FIGURES in orange are for User Input.</t>
  </si>
  <si>
    <t>Calculated from User Input ln 138</t>
  </si>
  <si>
    <r>
      <rPr>
        <sz val="10"/>
        <color indexed="30"/>
        <rFont val="Calibri"/>
        <family val="2"/>
      </rPr>
      <t xml:space="preserve">The Rate Board has provided this Model and Model Outline (the “Model”), which includes formulas and preloaded information, to facilitate participation in the 2021 General Rate Proceeding and the Board’s own consideration of participants’ proposals and comments. The City of Philadelphia owns the Model but makes no representations or warranties regarding the Model and its accuracy or completeness. The Model is provided “as is” and “with all faults.” Each participant is responsible for any testimony that involves the Model. The City grants a nonexclusive, revocable license to use the Model on the conditions that the direct or indirect recipient not use this Model, or permit its use, for commercial purposes, and </t>
    </r>
    <r>
      <rPr>
        <b/>
        <sz val="10"/>
        <color indexed="30"/>
        <rFont val="Calibri"/>
        <family val="2"/>
      </rPr>
      <t>not make any changes to the Model except to enter data solely in the cells marked for “User Input.”</t>
    </r>
    <r>
      <rPr>
        <sz val="10"/>
        <color indexed="30"/>
        <rFont val="Calibri"/>
        <family val="2"/>
      </rPr>
      <t xml:space="preserve"> The City is not responsible for computer viruses or other defects. The City is not responsible for any consequence of any recipient’s use of or reliance on the Model.</t>
    </r>
  </si>
  <si>
    <r>
      <t xml:space="preserve">The Rate Board has provided this Model and Model Outline (the “Model”), which includes formulas and preloaded information, to facilitate participation in the 2021 General Rate Proceeding and the Board’s own consideration of participants’ proposals and comments. The City of Philadelphia owns the Model but makes no representations or warranties regarding the Model and its accuracy or completeness. The Model is provided “as is” and “with all faults.” Each participant is responsible for any testimony that involves the Model. The City grants a nonexclusive, revocable license to use the Model on the conditions that the direct or indirect recipient not use this Model, or permit its use, for commercial purposes, and </t>
    </r>
    <r>
      <rPr>
        <b/>
        <sz val="10"/>
        <color indexed="30"/>
        <rFont val="Calibri"/>
        <family val="2"/>
      </rPr>
      <t>not make any changes to the Model except to enter data solely in the cells marked for “User Input.”</t>
    </r>
    <r>
      <rPr>
        <sz val="10"/>
        <color indexed="30"/>
        <rFont val="Calibri"/>
        <family val="2"/>
      </rPr>
      <t xml:space="preserve"> The City is not responsible for computer viruses or other defects. The City is not responsible for any consequence of any recipient’s use of or reliance on the Model.</t>
    </r>
  </si>
  <si>
    <r>
      <t xml:space="preserve">The Rate Board has provided this Model and Model Outline (the “Model”), which includes formulas and preloaded information, to facilitate participation in the 2021 General Rate Proceeding and the Board’s own consideration of participants’ proposals and comments. The City of Philadelphia owns the Model but makes no representations or warranties regarding the Model and its accuracy or completeness. The Model is provided “as is” and “with all faults.” Each participant is responsible for any testimony that involves the Model. The City grants a nonexclusive, revocable license to use the Model on the conditions that the direct or indirect recipient not use this Model, or permit its use, for commercial purposes, and not make any changes to the Model except to </t>
    </r>
    <r>
      <rPr>
        <b/>
        <sz val="10"/>
        <color indexed="30"/>
        <rFont val="Calibri"/>
        <family val="2"/>
      </rPr>
      <t>enter data solely in the cells marked for “User Input.”</t>
    </r>
    <r>
      <rPr>
        <sz val="10"/>
        <color indexed="30"/>
        <rFont val="Calibri"/>
        <family val="2"/>
      </rPr>
      <t xml:space="preserve"> The City is not responsible for computer viruses or other defects. The City is not responsible for any consequence of any recipient’s use of or reliance on the Model.</t>
    </r>
  </si>
  <si>
    <t>2021 From PWD, then ln 21</t>
  </si>
  <si>
    <t>2021 From PWD, then ln 21a</t>
  </si>
  <si>
    <t>Calculated from User Input</t>
  </si>
  <si>
    <t xml:space="preserve">Calculated/From User Inputs </t>
  </si>
  <si>
    <t xml:space="preserve">   Subtotal Expenses</t>
  </si>
  <si>
    <t>% Increase is Calculated</t>
  </si>
  <si>
    <t>PHILADELPHIA WATER DEPARTMENT</t>
  </si>
  <si>
    <t>Revenue Requirement and Operating Results</t>
  </si>
  <si>
    <t>For the Rate Years Ending June 30, 2022 and 2023</t>
  </si>
  <si>
    <t>2023</t>
  </si>
  <si>
    <t>2022</t>
  </si>
  <si>
    <t>2021</t>
  </si>
  <si>
    <t>The Rate Board has provided this Model and Model Outline (the “Model”), which includes formulas and preloaded information, to facilitate participation in the 2021 General Rate Proceeding and the Board’s own consideration of participants’ proposals and comments. The City of Philadelphia owns the Model but makes no representations or warranties regarding the Model and its accuracy or completeness. The Model is provided “as is” and “with all faults.” Each participant is responsible for any testimony that involves the Model. The City grants a nonexclusive, revocable license to use the Model on the conditions that the direct or indirect recipient not use this Model, or permit its use, for commercial purposes, and not make any changes to the Model except to enter data solely in the cells marked for “User Input.” The City is not responsible for computer viruses or other defects. The City is not responsible for any consequence of any recipient’s use of or reliance on the Model.</t>
  </si>
  <si>
    <t>Rate Increase /(Decrease)</t>
  </si>
  <si>
    <t xml:space="preserve">TOTAL SENIOR DEBT SERVICE COVERAGE </t>
  </si>
  <si>
    <t xml:space="preserve">      Fund. Debt Service Reserve Fund Release in FY 2021 is included in Other Operating Revenue line item.</t>
  </si>
  <si>
    <t xml:space="preserve">     for the transfer to the City General Fund shown on Line 36.</t>
  </si>
  <si>
    <t>($000s)</t>
  </si>
  <si>
    <t>Operating Expenses</t>
  </si>
  <si>
    <t>Capital Improvement Program</t>
  </si>
  <si>
    <t>Flow of Funds - Construction Fund &amp; Debt Reserve Account</t>
  </si>
  <si>
    <t>Summary of Existing and Proposed Debt Service</t>
  </si>
  <si>
    <t xml:space="preserve">  in FY 2021; and (ii) debt service and savings from the Forward Refunding for the Series 2011A Bonds.</t>
  </si>
  <si>
    <t>(a) Projected debt service amounts include (i) debt service for the Series 2020A and 2020B Bonds which were issued</t>
  </si>
  <si>
    <t xml:space="preserve">  5.00% interest rate; and assume issuance during the first quarter of the fiscal year.</t>
  </si>
  <si>
    <t xml:space="preserve">(b) Projected debt service amounts assume interest only payment for the first year of the bond authorization based on </t>
  </si>
  <si>
    <t xml:space="preserve">  5.25% interest rate; and assume issuance during the first quarter of the fiscal year.</t>
  </si>
  <si>
    <t xml:space="preserve">(c) Projected debt service amounts assume interest only payment for the first year of the bond authorization based on </t>
  </si>
  <si>
    <t>Projected Rate Stabilization Fund &amp; Performance vs. Covenants</t>
  </si>
  <si>
    <t>Transfers From (To) Revenue Fund (b)</t>
  </si>
  <si>
    <t>Projected Revenue Receipts</t>
  </si>
  <si>
    <t>Yr1</t>
  </si>
  <si>
    <t>Yr.2</t>
  </si>
  <si>
    <t>Rate Case Adjustment</t>
  </si>
  <si>
    <t>Expenses</t>
  </si>
  <si>
    <t>Revenues</t>
  </si>
  <si>
    <t>Reflect Growth Rate</t>
  </si>
  <si>
    <t>Adjust Volume Escalators</t>
  </si>
  <si>
    <t>Adjust Volume per Account</t>
  </si>
  <si>
    <t>Adjust Collection Factors</t>
  </si>
  <si>
    <t>Adjust Wholesale Customer Volumes</t>
  </si>
  <si>
    <t>Adjust O&amp;M Escalation Rate</t>
  </si>
  <si>
    <t>Adjust Actual to Budget Factors</t>
  </si>
  <si>
    <t>Adjust Interest Rates</t>
  </si>
  <si>
    <t>(a)  The projected rate increases shown on lines 7a, 8a and 9a are the result of PWD assumptions and do not reflect any adjustments.</t>
  </si>
  <si>
    <t xml:space="preserve">(b) Includes other operating and nonoperating income, including interest income on funds and accounts transferable to the Revenue </t>
  </si>
  <si>
    <t>(c) Transfer of interest earnings from the Bond Reserve Account to the Residual Fund as shown in Line 34 to satisfy the requirements</t>
  </si>
  <si>
    <t>(d) FY 2021 beginning balance is estimated based on preliminary FY 2020 results.</t>
  </si>
  <si>
    <t>(a)</t>
  </si>
  <si>
    <t>Other Income (b)</t>
  </si>
  <si>
    <t>Deposit for Transfer to City General Fund (c)</t>
  </si>
  <si>
    <t>Beginning of Year Balance (d)</t>
  </si>
  <si>
    <t>Adjust SMIP/GARP</t>
  </si>
  <si>
    <t xml:space="preserve">Revenue Requirement Effect of Adjustments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</si>
</sst>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_(* #,##0_);_(* \(#,##0\);_(* &quot;0&quot;_);_(@_)"/>
    <numFmt numFmtId="166" formatCode="0.0%"/>
    <numFmt numFmtId="167" formatCode="_(* #,##0.0000_);_(* \(#,##0.0000\);_(* &quot;-&quot;_);_(@_)"/>
    <numFmt numFmtId="168" formatCode="_(* #,##0_);_(* \(#,##0\);_(* &quot;-&quot;??_);_(@_)"/>
    <numFmt numFmtId="169" formatCode="_(* #,##0.0_);_(* \(#,##0.0\);_(* &quot;-&quot;_);_(@_)"/>
    <numFmt numFmtId="170" formatCode="_(* #,##0.00_);_(* \(#,##0.00\);_(* &quot;-&quot;_);_(@_)"/>
    <numFmt numFmtId="171" formatCode="_(* #,##0.0_);_(* \(#,##0.0\);_(* &quot;-&quot;?_);_(@_)"/>
    <numFmt numFmtId="172" formatCode="[$-409]dddd\,\ mmmm\ d\,\ yyyy"/>
    <numFmt numFmtId="173" formatCode="[$-409]h:mm:ss\ AM/PM"/>
    <numFmt numFmtId="174" formatCode="0.0"/>
    <numFmt numFmtId="175" formatCode="_(* #,##0.0_);_(* \(#,##0.0\);_(* &quot;-&quot;??_);_(@_)"/>
    <numFmt numFmtId="176" formatCode="0.000%"/>
    <numFmt numFmtId="177" formatCode="_(* #,##0.00000_);_(* \(#,##0.00000\);_(* &quot;-&quot;?????_);_(@_)"/>
    <numFmt numFmtId="178" formatCode="_(* #,##0.0000_);_(* \(#,##0.0000\);_(* &quot;-&quot;????_);_(@_)"/>
    <numFmt numFmtId="179" formatCode="_(* #,##0.000_);_(* \(#,##0.000\);_(* &quot;-&quot;_);_(@_)"/>
    <numFmt numFmtId="180" formatCode="_(* #,##0.00000_);_(* \(#,##0.00000\);_(* &quot;-&quot;_);_(@_)"/>
    <numFmt numFmtId="181" formatCode="_(* #,##0.000000_);_(* \(#,##0.000000\);_(* &quot;-&quot;_);_(@_)"/>
    <numFmt numFmtId="182" formatCode="#,##0.0_);\(#,##0.0\)"/>
    <numFmt numFmtId="183" formatCode="#,##0.000_);\(#,##0.000\)"/>
    <numFmt numFmtId="184" formatCode="#,##0.0000_);\(#,##0.0000\)"/>
    <numFmt numFmtId="185" formatCode="#,##0.00000_);\(#,##0.00000\)"/>
    <numFmt numFmtId="186" formatCode="&quot;Yes&quot;;&quot;Yes&quot;;&quot;No&quot;"/>
    <numFmt numFmtId="187" formatCode="&quot;True&quot;;&quot;True&quot;;&quot;False&quot;"/>
    <numFmt numFmtId="188" formatCode="&quot;On&quot;;&quot;On&quot;;&quot;Off&quot;"/>
    <numFmt numFmtId="189" formatCode="[$€-2]\ #,##0.00_);[Red]\([$€-2]\ #,##0.00\)"/>
    <numFmt numFmtId="190" formatCode="_(&quot;$&quot;* #,##0.0_);_(&quot;$&quot;* \(#,##0.0\);_(&quot;$&quot;* &quot;-&quot;??_);_(@_)"/>
    <numFmt numFmtId="191" formatCode="_(&quot;$&quot;* #,##0_);_(&quot;$&quot;* \(#,##0\);_(&quot;$&quot;* &quot;-&quot;??_);_(@_)"/>
  </numFmts>
  <fonts count="98">
    <font>
      <sz val="12"/>
      <color theme="1"/>
      <name val="Calibri"/>
      <family val="2"/>
    </font>
    <font>
      <sz val="11"/>
      <color indexed="8"/>
      <name val="Calibri"/>
      <family val="2"/>
    </font>
    <font>
      <b/>
      <sz val="11"/>
      <color indexed="9"/>
      <name val="Calibri"/>
      <family val="2"/>
    </font>
    <font>
      <sz val="12"/>
      <color indexed="8"/>
      <name val="Calibri"/>
      <family val="2"/>
    </font>
    <font>
      <b/>
      <sz val="10"/>
      <color indexed="8"/>
      <name val="Times New Roman"/>
      <family val="1"/>
    </font>
    <font>
      <sz val="12"/>
      <name val="Arial MT"/>
      <family val="0"/>
    </font>
    <font>
      <sz val="10"/>
      <name val="Times New Roman"/>
      <family val="1"/>
    </font>
    <font>
      <u val="singleAccounting"/>
      <sz val="10"/>
      <name val="Times New Roman"/>
      <family val="1"/>
    </font>
    <font>
      <u val="single"/>
      <sz val="10"/>
      <color indexed="12"/>
      <name val="Times New Roman"/>
      <family val="1"/>
    </font>
    <font>
      <b/>
      <sz val="14"/>
      <color indexed="8"/>
      <name val="Arial"/>
      <family val="2"/>
    </font>
    <font>
      <b/>
      <sz val="14"/>
      <color indexed="9"/>
      <name val="Arial"/>
      <family val="2"/>
    </font>
    <font>
      <b/>
      <u val="singleAccounting"/>
      <sz val="11"/>
      <color indexed="9"/>
      <name val="Calibri"/>
      <family val="2"/>
    </font>
    <font>
      <sz val="10"/>
      <color indexed="8"/>
      <name val="Times New Roman"/>
      <family val="1"/>
    </font>
    <font>
      <sz val="10"/>
      <name val="Calibri"/>
      <family val="2"/>
    </font>
    <font>
      <sz val="11"/>
      <name val="Calibri"/>
      <family val="2"/>
    </font>
    <font>
      <b/>
      <sz val="14"/>
      <color indexed="9"/>
      <name val="Calibri"/>
      <family val="2"/>
    </font>
    <font>
      <sz val="10"/>
      <name val="Arial"/>
      <family val="2"/>
    </font>
    <font>
      <b/>
      <sz val="11"/>
      <name val="Calibri"/>
      <family val="2"/>
    </font>
    <font>
      <sz val="10"/>
      <color indexed="8"/>
      <name val="Calibri"/>
      <family val="2"/>
    </font>
    <font>
      <b/>
      <sz val="10"/>
      <name val="Times New Roman"/>
      <family val="1"/>
    </font>
    <font>
      <b/>
      <sz val="10"/>
      <name val="Calibri"/>
      <family val="2"/>
    </font>
    <font>
      <sz val="8"/>
      <name val="Calibri"/>
      <family val="2"/>
    </font>
    <font>
      <b/>
      <sz val="10"/>
      <color indexed="10"/>
      <name val="Calibri"/>
      <family val="2"/>
    </font>
    <font>
      <b/>
      <sz val="12"/>
      <color indexed="8"/>
      <name val="Calibri"/>
      <family val="2"/>
    </font>
    <font>
      <sz val="12"/>
      <color indexed="10"/>
      <name val="Calibri"/>
      <family val="2"/>
    </font>
    <font>
      <sz val="12"/>
      <name val="Calibri"/>
      <family val="2"/>
    </font>
    <font>
      <b/>
      <sz val="10"/>
      <color indexed="8"/>
      <name val="Calibri"/>
      <family val="2"/>
    </font>
    <font>
      <b/>
      <sz val="12"/>
      <name val="Calibri"/>
      <family val="2"/>
    </font>
    <font>
      <sz val="10"/>
      <color indexed="8"/>
      <name val="Calibri (Body)"/>
      <family val="0"/>
    </font>
    <font>
      <b/>
      <u val="singleAccounting"/>
      <sz val="11"/>
      <name val="Calibri"/>
      <family val="2"/>
    </font>
    <font>
      <b/>
      <sz val="11"/>
      <color indexed="8"/>
      <name val="Calibri"/>
      <family val="2"/>
    </font>
    <font>
      <b/>
      <sz val="12"/>
      <color indexed="10"/>
      <name val="Calibri"/>
      <family val="2"/>
    </font>
    <font>
      <b/>
      <sz val="10"/>
      <color indexed="10"/>
      <name val="Times New Roman"/>
      <family val="1"/>
    </font>
    <font>
      <b/>
      <sz val="11"/>
      <color indexed="8"/>
      <name val="Arial"/>
      <family val="2"/>
    </font>
    <font>
      <sz val="10"/>
      <color indexed="30"/>
      <name val="Calibri"/>
      <family val="2"/>
    </font>
    <font>
      <b/>
      <sz val="10"/>
      <color indexed="30"/>
      <name val="Calibri"/>
      <family val="2"/>
    </font>
    <font>
      <b/>
      <sz val="10"/>
      <color indexed="10"/>
      <name val="Arial"/>
      <family val="2"/>
    </font>
    <font>
      <b/>
      <sz val="9"/>
      <color indexed="10"/>
      <name val="Arial"/>
      <family val="2"/>
    </font>
    <font>
      <b/>
      <sz val="10.5"/>
      <color indexed="10"/>
      <name val="Arial"/>
      <family val="2"/>
    </font>
    <font>
      <sz val="14"/>
      <color indexed="10"/>
      <name val="Calibri"/>
      <family val="2"/>
    </font>
    <font>
      <b/>
      <sz val="14"/>
      <color indexed="8"/>
      <name val="Calibri"/>
      <family val="2"/>
    </font>
    <font>
      <b/>
      <u val="single"/>
      <sz val="14"/>
      <color indexed="8"/>
      <name val="Calibri"/>
      <family val="2"/>
    </font>
    <font>
      <b/>
      <sz val="14"/>
      <color indexed="10"/>
      <name val="Times New Roman"/>
      <family val="1"/>
    </font>
    <font>
      <b/>
      <u val="single"/>
      <sz val="16"/>
      <color indexed="10"/>
      <name val="Calibri"/>
      <family val="2"/>
    </font>
    <font>
      <sz val="10"/>
      <color indexed="30"/>
      <name val="Times New Roman"/>
      <family val="1"/>
    </font>
    <font>
      <b/>
      <sz val="12"/>
      <name val="Arial"/>
      <family val="2"/>
    </font>
    <font>
      <u val="singleAccounting"/>
      <sz val="11"/>
      <name val="Calibri"/>
      <family val="2"/>
    </font>
    <font>
      <u val="singleAccounting"/>
      <sz val="10"/>
      <name val="Calibri"/>
      <family val="2"/>
    </font>
    <font>
      <sz val="8"/>
      <name val="Arial MT"/>
      <family val="0"/>
    </font>
    <font>
      <sz val="9"/>
      <name val="Calibri"/>
      <family val="2"/>
    </font>
    <font>
      <u val="doubleAccounting"/>
      <sz val="10"/>
      <name val="Calibri"/>
      <family val="2"/>
    </font>
    <font>
      <u val="single"/>
      <sz val="10"/>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2"/>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sz val="8"/>
      <color indexed="8"/>
      <name val="Calibri"/>
      <family val="2"/>
    </font>
    <font>
      <sz val="12"/>
      <color indexed="8"/>
      <name val="Arial"/>
      <family val="2"/>
    </font>
    <font>
      <b/>
      <sz val="14"/>
      <name val="Arial"/>
      <family val="2"/>
    </font>
    <font>
      <sz val="14"/>
      <color indexed="8"/>
      <name val="Arial"/>
      <family val="2"/>
    </font>
    <font>
      <sz val="14"/>
      <color indexed="8"/>
      <name val="Calibri"/>
      <family val="2"/>
    </font>
    <font>
      <u val="singleAccounting"/>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theme="1"/>
      <name val="Calibri"/>
      <family val="2"/>
    </font>
    <font>
      <sz val="12"/>
      <color theme="1"/>
      <name val="Arial"/>
      <family val="2"/>
    </font>
    <font>
      <sz val="14"/>
      <color theme="1"/>
      <name val="Arial"/>
      <family val="2"/>
    </font>
    <font>
      <sz val="14"/>
      <color theme="1"/>
      <name val="Calibri"/>
      <family val="2"/>
    </font>
    <font>
      <b/>
      <u val="single"/>
      <sz val="14"/>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indexed="62"/>
        <bgColor indexed="64"/>
      </patternFill>
    </fill>
    <fill>
      <patternFill patternType="solid">
        <fgColor indexed="9"/>
        <bgColor indexed="64"/>
      </patternFill>
    </fill>
    <fill>
      <patternFill patternType="solid">
        <fgColor indexed="55"/>
        <bgColor indexed="64"/>
      </patternFill>
    </fill>
    <fill>
      <patternFill patternType="solid">
        <fgColor indexed="30"/>
        <bgColor indexed="64"/>
      </patternFill>
    </fill>
    <fill>
      <patternFill patternType="solid">
        <fgColor indexed="22"/>
        <bgColor indexed="64"/>
      </patternFill>
    </fill>
    <fill>
      <patternFill patternType="solid">
        <fgColor indexed="54"/>
        <bgColor indexed="64"/>
      </patternFill>
    </fill>
    <fill>
      <patternFill patternType="solid">
        <fgColor indexed="8"/>
        <bgColor indexed="64"/>
      </patternFill>
    </fill>
    <fill>
      <patternFill patternType="solid">
        <fgColor indexed="44"/>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8"/>
      </top>
      <bottom/>
    </border>
    <border>
      <left/>
      <right/>
      <top/>
      <bottom style="thick">
        <color indexed="8"/>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right style="thick">
        <color indexed="9"/>
      </right>
      <top style="thin"/>
      <bottom/>
    </border>
    <border>
      <left style="thick">
        <color indexed="9"/>
      </left>
      <right/>
      <top/>
      <bottom style="thin">
        <color indexed="9"/>
      </bottom>
    </border>
    <border>
      <left/>
      <right/>
      <top/>
      <bottom style="thin">
        <color indexed="9"/>
      </bottom>
    </border>
    <border>
      <left/>
      <right style="thick">
        <color indexed="9"/>
      </right>
      <top/>
      <bottom style="thin">
        <color indexed="9"/>
      </bottom>
    </border>
    <border>
      <left/>
      <right/>
      <top style="medium"/>
      <bottom/>
    </border>
    <border>
      <left/>
      <right style="medium"/>
      <top style="medium"/>
      <bottom/>
    </border>
    <border>
      <left/>
      <right style="medium"/>
      <top/>
      <bottom/>
    </border>
    <border>
      <left style="thick">
        <color indexed="9"/>
      </left>
      <right/>
      <top style="thin">
        <color indexed="9"/>
      </top>
      <bottom style="thin">
        <color indexed="9"/>
      </bottom>
    </border>
    <border>
      <left style="thick">
        <color indexed="9"/>
      </left>
      <right style="medium"/>
      <top style="thin">
        <color indexed="9"/>
      </top>
      <bottom style="medium"/>
    </border>
    <border>
      <left/>
      <right/>
      <top/>
      <bottom style="medium"/>
    </border>
    <border>
      <left/>
      <right style="medium"/>
      <top/>
      <bottom style="medium"/>
    </border>
    <border>
      <left style="medium"/>
      <right/>
      <top style="medium"/>
      <bottom/>
    </border>
    <border>
      <left/>
      <right/>
      <top/>
      <bottom style="thin"/>
    </border>
    <border>
      <left/>
      <right style="medium"/>
      <top/>
      <bottom style="thin"/>
    </border>
    <border>
      <left style="thin"/>
      <right/>
      <top/>
      <bottom/>
    </border>
    <border>
      <left style="medium"/>
      <right/>
      <top/>
      <bottom/>
    </border>
    <border>
      <left>
        <color indexed="63"/>
      </left>
      <right style="medium"/>
      <top/>
      <bottom style="thin">
        <color indexed="9"/>
      </bottom>
    </border>
    <border>
      <left>
        <color indexed="63"/>
      </left>
      <right style="medium"/>
      <top style="thin">
        <color indexed="9"/>
      </top>
      <bottom style="medium"/>
    </border>
    <border>
      <left style="medium"/>
      <right/>
      <top/>
      <bottom style="medium"/>
    </border>
    <border>
      <left/>
      <right style="medium"/>
      <top style="thin"/>
      <bottom/>
    </border>
    <border>
      <left style="thick">
        <color indexed="9"/>
      </left>
      <right style="medium"/>
      <top style="thin">
        <color indexed="9"/>
      </top>
      <bottom style="thin">
        <color indexed="9"/>
      </bottom>
    </border>
    <border>
      <left style="thin"/>
      <right>
        <color indexed="63"/>
      </right>
      <top>
        <color indexed="63"/>
      </top>
      <bottom style="thin"/>
    </border>
    <border>
      <left/>
      <right/>
      <top style="thin">
        <color indexed="9"/>
      </top>
      <bottom style="thin">
        <color indexed="9"/>
      </bottom>
    </border>
    <border>
      <left/>
      <right style="thick">
        <color indexed="9"/>
      </right>
      <top style="thin">
        <color indexed="9"/>
      </top>
      <bottom style="thin">
        <color indexed="9"/>
      </bottom>
    </border>
    <border>
      <left style="medium"/>
      <right/>
      <top style="thin">
        <color indexed="9"/>
      </top>
      <bottom style="thin">
        <color indexed="9"/>
      </bottom>
    </border>
    <border>
      <left style="medium"/>
      <right/>
      <top/>
      <bottom style="thin"/>
    </border>
    <border>
      <left style="medium"/>
      <right/>
      <top style="thin">
        <color indexed="9"/>
      </top>
      <bottom style="medium"/>
    </border>
    <border>
      <left/>
      <right/>
      <top style="thin">
        <color indexed="9"/>
      </top>
      <bottom style="medium"/>
    </border>
    <border>
      <left/>
      <right style="thick">
        <color indexed="9"/>
      </right>
      <top style="thin">
        <color indexed="9"/>
      </top>
      <bottom style="medium"/>
    </border>
    <border>
      <left style="thick">
        <color indexed="9"/>
      </left>
      <right/>
      <top style="thin">
        <color indexed="9"/>
      </top>
      <bottom style="medium"/>
    </border>
    <border>
      <left style="medium"/>
      <right/>
      <top style="medium"/>
      <bottom style="thin">
        <color indexed="9"/>
      </bottom>
    </border>
    <border>
      <left/>
      <right/>
      <top style="medium"/>
      <bottom style="thin">
        <color indexed="9"/>
      </bottom>
    </border>
    <border>
      <left/>
      <right style="thick">
        <color indexed="9"/>
      </right>
      <top style="medium"/>
      <bottom style="thin">
        <color indexed="9"/>
      </bottom>
    </border>
    <border>
      <left style="medium"/>
      <right/>
      <top style="thin">
        <color indexed="9"/>
      </top>
      <bottom style="thin"/>
    </border>
    <border>
      <left/>
      <right/>
      <top style="thin">
        <color indexed="9"/>
      </top>
      <bottom style="thin"/>
    </border>
    <border>
      <left/>
      <right style="thick">
        <color indexed="9"/>
      </right>
      <top style="thin">
        <color indexed="9"/>
      </top>
      <bottom style="thin"/>
    </border>
    <border>
      <left/>
      <right style="thin"/>
      <top/>
      <bottom/>
    </border>
    <border>
      <left>
        <color indexed="63"/>
      </left>
      <right style="thin"/>
      <top>
        <color indexed="63"/>
      </top>
      <bottom style="thin"/>
    </border>
    <border>
      <left style="thick">
        <color indexed="9"/>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1"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74" fillId="0" borderId="0">
      <alignment/>
      <protection/>
    </xf>
    <xf numFmtId="0" fontId="3" fillId="32" borderId="7" applyNumberFormat="0" applyFont="0" applyAlignment="0" applyProtection="0"/>
    <xf numFmtId="0" fontId="89" fillId="27" borderId="8" applyNumberFormat="0" applyAlignment="0" applyProtection="0"/>
    <xf numFmtId="9" fontId="3" fillId="0" borderId="0" applyFont="0" applyFill="0" applyBorder="0" applyAlignment="0" applyProtection="0"/>
    <xf numFmtId="9" fontId="6" fillId="0" borderId="0" applyFont="0" applyFill="0" applyBorder="0" applyAlignment="0" applyProtection="0"/>
    <xf numFmtId="164" fontId="4" fillId="33" borderId="9">
      <alignment horizontal="left" vertical="center"/>
      <protection/>
    </xf>
    <xf numFmtId="37" fontId="4" fillId="33" borderId="10" applyAlignment="0">
      <protection locked="0"/>
    </xf>
    <xf numFmtId="0" fontId="90" fillId="0" borderId="0" applyNumberFormat="0" applyFill="0" applyBorder="0" applyAlignment="0" applyProtection="0"/>
    <xf numFmtId="0" fontId="9" fillId="0" borderId="0">
      <alignment horizontal="centerContinuous"/>
      <protection/>
    </xf>
    <xf numFmtId="0" fontId="91" fillId="0" borderId="11" applyNumberFormat="0" applyFill="0" applyAlignment="0" applyProtection="0"/>
    <xf numFmtId="0" fontId="92" fillId="0" borderId="0" applyNumberFormat="0" applyFill="0" applyBorder="0" applyAlignment="0" applyProtection="0"/>
  </cellStyleXfs>
  <cellXfs count="474">
    <xf numFmtId="0" fontId="0" fillId="0" borderId="0" xfId="0" applyFont="1" applyAlignment="1">
      <alignment/>
    </xf>
    <xf numFmtId="0" fontId="16" fillId="34" borderId="0" xfId="60" applyFont="1" applyFill="1" applyBorder="1">
      <alignment/>
      <protection/>
    </xf>
    <xf numFmtId="0" fontId="15" fillId="35" borderId="0" xfId="68" applyFont="1" applyFill="1" applyBorder="1" applyAlignment="1">
      <alignment horizontal="centerContinuous"/>
      <protection/>
    </xf>
    <xf numFmtId="0" fontId="0" fillId="36" borderId="0" xfId="0" applyFill="1" applyAlignment="1">
      <alignment/>
    </xf>
    <xf numFmtId="0" fontId="12" fillId="36" borderId="0" xfId="0" applyFont="1" applyFill="1" applyAlignment="1">
      <alignment/>
    </xf>
    <xf numFmtId="37" fontId="6" fillId="36" borderId="0" xfId="0" applyNumberFormat="1" applyFont="1" applyFill="1" applyAlignment="1" applyProtection="1">
      <alignment/>
      <protection/>
    </xf>
    <xf numFmtId="37" fontId="5" fillId="36" borderId="0" xfId="0" applyNumberFormat="1" applyFont="1" applyFill="1" applyAlignment="1" applyProtection="1">
      <alignment/>
      <protection/>
    </xf>
    <xf numFmtId="37" fontId="2" fillId="37" borderId="0" xfId="0" applyNumberFormat="1" applyFont="1" applyFill="1" applyBorder="1" applyAlignment="1" applyProtection="1">
      <alignment/>
      <protection/>
    </xf>
    <xf numFmtId="37" fontId="6" fillId="38" borderId="0" xfId="0" applyNumberFormat="1" applyFont="1" applyFill="1" applyBorder="1" applyAlignment="1" applyProtection="1">
      <alignment horizontal="center"/>
      <protection/>
    </xf>
    <xf numFmtId="41" fontId="7" fillId="38" borderId="0" xfId="0" applyNumberFormat="1" applyFont="1" applyFill="1" applyBorder="1" applyAlignment="1" applyProtection="1">
      <alignment horizontal="right"/>
      <protection/>
    </xf>
    <xf numFmtId="37" fontId="14" fillId="39" borderId="0" xfId="0" applyNumberFormat="1" applyFont="1" applyFill="1" applyBorder="1" applyAlignment="1" applyProtection="1">
      <alignment/>
      <protection/>
    </xf>
    <xf numFmtId="37" fontId="2" fillId="37" borderId="0" xfId="0" applyNumberFormat="1" applyFont="1" applyFill="1" applyBorder="1" applyAlignment="1" applyProtection="1">
      <alignment horizontal="right"/>
      <protection/>
    </xf>
    <xf numFmtId="0" fontId="13" fillId="36" borderId="0" xfId="0" applyFont="1" applyFill="1" applyAlignment="1" applyProtection="1">
      <alignment/>
      <protection/>
    </xf>
    <xf numFmtId="41" fontId="5" fillId="36" borderId="0" xfId="0" applyNumberFormat="1" applyFont="1" applyFill="1" applyAlignment="1" applyProtection="1">
      <alignment/>
      <protection/>
    </xf>
    <xf numFmtId="41" fontId="2" fillId="37" borderId="0" xfId="0" applyNumberFormat="1" applyFont="1" applyFill="1" applyBorder="1" applyAlignment="1" applyProtection="1">
      <alignment/>
      <protection/>
    </xf>
    <xf numFmtId="37" fontId="5" fillId="36" borderId="0" xfId="0" applyNumberFormat="1" applyFont="1" applyFill="1" applyBorder="1" applyAlignment="1" applyProtection="1">
      <alignment/>
      <protection/>
    </xf>
    <xf numFmtId="37" fontId="13" fillId="36" borderId="0" xfId="0" applyNumberFormat="1" applyFont="1" applyFill="1" applyAlignment="1" applyProtection="1">
      <alignment/>
      <protection/>
    </xf>
    <xf numFmtId="37" fontId="19" fillId="36" borderId="0" xfId="0" applyNumberFormat="1" applyFont="1" applyFill="1" applyAlignment="1" applyProtection="1">
      <alignment/>
      <protection/>
    </xf>
    <xf numFmtId="37" fontId="2" fillId="40" borderId="12" xfId="0" applyNumberFormat="1" applyFont="1" applyFill="1" applyBorder="1" applyAlignment="1" applyProtection="1">
      <alignment horizontal="center"/>
      <protection/>
    </xf>
    <xf numFmtId="37" fontId="2" fillId="40" borderId="13" xfId="0" applyNumberFormat="1" applyFont="1" applyFill="1" applyBorder="1" applyAlignment="1" applyProtection="1">
      <alignment/>
      <protection/>
    </xf>
    <xf numFmtId="37" fontId="11" fillId="40" borderId="13" xfId="0" applyNumberFormat="1" applyFont="1" applyFill="1" applyBorder="1" applyAlignment="1" applyProtection="1">
      <alignment/>
      <protection/>
    </xf>
    <xf numFmtId="37" fontId="11" fillId="40" borderId="13" xfId="0" applyNumberFormat="1" applyFont="1" applyFill="1" applyBorder="1" applyAlignment="1" applyProtection="1">
      <alignment horizontal="center"/>
      <protection/>
    </xf>
    <xf numFmtId="37" fontId="11" fillId="40" borderId="13" xfId="0" applyNumberFormat="1" applyFont="1" applyFill="1" applyBorder="1" applyAlignment="1" applyProtection="1">
      <alignment horizontal="centerContinuous"/>
      <protection/>
    </xf>
    <xf numFmtId="37" fontId="11" fillId="40" borderId="14" xfId="0" applyNumberFormat="1" applyFont="1" applyFill="1" applyBorder="1" applyAlignment="1" applyProtection="1">
      <alignment horizontal="centerContinuous"/>
      <protection/>
    </xf>
    <xf numFmtId="0" fontId="11" fillId="40" borderId="0" xfId="0" applyNumberFormat="1" applyFont="1" applyFill="1" applyBorder="1" applyAlignment="1" applyProtection="1">
      <alignment horizontal="center"/>
      <protection/>
    </xf>
    <xf numFmtId="37" fontId="6" fillId="36" borderId="0" xfId="0" applyNumberFormat="1" applyFont="1" applyFill="1" applyBorder="1" applyAlignment="1" applyProtection="1">
      <alignment/>
      <protection/>
    </xf>
    <xf numFmtId="0" fontId="0" fillId="36" borderId="0" xfId="0" applyFill="1" applyBorder="1" applyAlignment="1">
      <alignment/>
    </xf>
    <xf numFmtId="37" fontId="20" fillId="41" borderId="0" xfId="0" applyNumberFormat="1" applyFont="1" applyFill="1" applyBorder="1" applyAlignment="1" applyProtection="1">
      <alignment horizontal="center" vertical="center"/>
      <protection/>
    </xf>
    <xf numFmtId="37" fontId="20" fillId="41" borderId="0" xfId="0" applyNumberFormat="1" applyFont="1" applyFill="1" applyBorder="1" applyAlignment="1" applyProtection="1">
      <alignment vertical="center"/>
      <protection/>
    </xf>
    <xf numFmtId="41" fontId="20" fillId="41" borderId="0" xfId="0" applyNumberFormat="1" applyFont="1" applyFill="1" applyBorder="1" applyAlignment="1" applyProtection="1">
      <alignment horizontal="right" vertical="center" indent="1"/>
      <protection/>
    </xf>
    <xf numFmtId="0" fontId="16" fillId="34" borderId="0" xfId="60" applyFont="1" applyFill="1" applyBorder="1" applyAlignment="1">
      <alignment horizontal="left"/>
      <protection/>
    </xf>
    <xf numFmtId="37" fontId="2" fillId="37" borderId="0" xfId="0" applyNumberFormat="1" applyFont="1" applyFill="1" applyBorder="1" applyAlignment="1" applyProtection="1">
      <alignment horizontal="left"/>
      <protection/>
    </xf>
    <xf numFmtId="37" fontId="2" fillId="37" borderId="0" xfId="0" applyNumberFormat="1" applyFont="1" applyFill="1" applyBorder="1" applyAlignment="1" applyProtection="1">
      <alignment horizontal="centerContinuous"/>
      <protection/>
    </xf>
    <xf numFmtId="1" fontId="2" fillId="38" borderId="15" xfId="60" applyNumberFormat="1" applyFont="1" applyFill="1" applyBorder="1" applyAlignment="1">
      <alignment horizontal="center" vertical="top" wrapText="1"/>
      <protection/>
    </xf>
    <xf numFmtId="167" fontId="0" fillId="36" borderId="0" xfId="0" applyNumberFormat="1" applyFill="1" applyAlignment="1">
      <alignment/>
    </xf>
    <xf numFmtId="0" fontId="0" fillId="0" borderId="0" xfId="0" applyFill="1" applyAlignment="1">
      <alignment/>
    </xf>
    <xf numFmtId="41" fontId="20" fillId="0" borderId="0" xfId="0" applyNumberFormat="1" applyFont="1" applyFill="1" applyBorder="1" applyAlignment="1" applyProtection="1">
      <alignment horizontal="right" vertical="center" indent="1"/>
      <protection/>
    </xf>
    <xf numFmtId="41" fontId="20" fillId="0" borderId="16" xfId="0" applyNumberFormat="1" applyFont="1" applyFill="1" applyBorder="1" applyAlignment="1" applyProtection="1">
      <alignment horizontal="right" vertical="center" indent="1"/>
      <protection/>
    </xf>
    <xf numFmtId="37" fontId="20" fillId="0" borderId="0" xfId="0" applyNumberFormat="1" applyFont="1" applyFill="1" applyBorder="1" applyAlignment="1" applyProtection="1">
      <alignment horizontal="center" vertical="center"/>
      <protection/>
    </xf>
    <xf numFmtId="37" fontId="20" fillId="0" borderId="0" xfId="0" applyNumberFormat="1" applyFont="1" applyFill="1" applyBorder="1" applyAlignment="1" applyProtection="1">
      <alignment vertical="center"/>
      <protection/>
    </xf>
    <xf numFmtId="37" fontId="13" fillId="0" borderId="0" xfId="0" applyNumberFormat="1" applyFont="1" applyFill="1" applyBorder="1" applyAlignment="1" applyProtection="1">
      <alignment vertical="center"/>
      <protection/>
    </xf>
    <xf numFmtId="37" fontId="20" fillId="0" borderId="16" xfId="0" applyNumberFormat="1" applyFont="1" applyFill="1" applyBorder="1" applyAlignment="1" applyProtection="1">
      <alignment horizontal="left" vertical="center"/>
      <protection/>
    </xf>
    <xf numFmtId="37" fontId="20" fillId="0" borderId="17" xfId="0" applyNumberFormat="1" applyFont="1" applyFill="1" applyBorder="1" applyAlignment="1" applyProtection="1">
      <alignment horizontal="left" vertical="center"/>
      <protection/>
    </xf>
    <xf numFmtId="37" fontId="20" fillId="0" borderId="18" xfId="0" applyNumberFormat="1" applyFont="1" applyFill="1" applyBorder="1" applyAlignment="1" applyProtection="1">
      <alignment horizontal="left" vertical="center"/>
      <protection/>
    </xf>
    <xf numFmtId="41" fontId="0" fillId="36" borderId="0" xfId="0" applyNumberFormat="1" applyFill="1" applyAlignment="1">
      <alignment/>
    </xf>
    <xf numFmtId="0" fontId="18" fillId="0" borderId="0" xfId="0" applyFont="1" applyFill="1" applyAlignment="1">
      <alignment/>
    </xf>
    <xf numFmtId="0" fontId="0" fillId="40" borderId="0" xfId="0" applyFill="1" applyAlignment="1">
      <alignment/>
    </xf>
    <xf numFmtId="0" fontId="26" fillId="37" borderId="0" xfId="0" applyFont="1" applyFill="1" applyBorder="1" applyAlignment="1">
      <alignment/>
    </xf>
    <xf numFmtId="41" fontId="13" fillId="39" borderId="0" xfId="0" applyNumberFormat="1" applyFont="1" applyFill="1" applyBorder="1" applyAlignment="1" applyProtection="1">
      <alignment horizontal="left" vertical="center" indent="1"/>
      <protection/>
    </xf>
    <xf numFmtId="41" fontId="20" fillId="42" borderId="19" xfId="0" applyNumberFormat="1" applyFont="1" applyFill="1" applyBorder="1" applyAlignment="1" applyProtection="1">
      <alignment horizontal="right" vertical="center" indent="1"/>
      <protection/>
    </xf>
    <xf numFmtId="41" fontId="20" fillId="42" borderId="20" xfId="0" applyNumberFormat="1" applyFont="1" applyFill="1" applyBorder="1" applyAlignment="1" applyProtection="1">
      <alignment horizontal="right" vertical="center" indent="1"/>
      <protection/>
    </xf>
    <xf numFmtId="41" fontId="20" fillId="42" borderId="0" xfId="0" applyNumberFormat="1" applyFont="1" applyFill="1" applyBorder="1" applyAlignment="1" applyProtection="1">
      <alignment horizontal="right" vertical="center" indent="1"/>
      <protection/>
    </xf>
    <xf numFmtId="41" fontId="20" fillId="42" borderId="21" xfId="0" applyNumberFormat="1" applyFont="1" applyFill="1" applyBorder="1" applyAlignment="1" applyProtection="1">
      <alignment horizontal="right" vertical="center" indent="1"/>
      <protection/>
    </xf>
    <xf numFmtId="41" fontId="26" fillId="42" borderId="0" xfId="0" applyNumberFormat="1" applyFont="1" applyFill="1" applyBorder="1" applyAlignment="1">
      <alignment/>
    </xf>
    <xf numFmtId="41" fontId="20" fillId="42" borderId="22" xfId="0" applyNumberFormat="1" applyFont="1" applyFill="1" applyBorder="1" applyAlignment="1" applyProtection="1">
      <alignment horizontal="right" vertical="center" indent="1"/>
      <protection/>
    </xf>
    <xf numFmtId="41" fontId="20" fillId="42" borderId="23" xfId="0" applyNumberFormat="1" applyFont="1" applyFill="1" applyBorder="1" applyAlignment="1" applyProtection="1">
      <alignment horizontal="right" vertical="center" indent="1"/>
      <protection/>
    </xf>
    <xf numFmtId="168" fontId="20" fillId="42" borderId="0" xfId="42" applyNumberFormat="1" applyFont="1" applyFill="1" applyBorder="1" applyAlignment="1" applyProtection="1">
      <alignment horizontal="right" vertical="center" indent="1"/>
      <protection/>
    </xf>
    <xf numFmtId="168" fontId="20" fillId="42" borderId="21" xfId="42" applyNumberFormat="1" applyFont="1" applyFill="1" applyBorder="1" applyAlignment="1" applyProtection="1">
      <alignment horizontal="right" vertical="center" indent="1"/>
      <protection/>
    </xf>
    <xf numFmtId="168" fontId="20" fillId="42" borderId="24" xfId="42" applyNumberFormat="1" applyFont="1" applyFill="1" applyBorder="1" applyAlignment="1" applyProtection="1">
      <alignment horizontal="right" vertical="center" indent="1"/>
      <protection/>
    </xf>
    <xf numFmtId="168" fontId="20" fillId="42" borderId="25" xfId="42" applyNumberFormat="1" applyFont="1" applyFill="1" applyBorder="1" applyAlignment="1" applyProtection="1">
      <alignment horizontal="right" vertical="center" indent="1"/>
      <protection/>
    </xf>
    <xf numFmtId="39" fontId="13" fillId="0" borderId="0" xfId="0" applyNumberFormat="1" applyFont="1" applyFill="1" applyBorder="1" applyAlignment="1" applyProtection="1">
      <alignment horizontal="center" vertical="center"/>
      <protection/>
    </xf>
    <xf numFmtId="166" fontId="22" fillId="43" borderId="0" xfId="63" applyNumberFormat="1" applyFont="1" applyFill="1" applyBorder="1" applyAlignment="1" applyProtection="1">
      <alignment horizontal="right" vertical="center" indent="1"/>
      <protection/>
    </xf>
    <xf numFmtId="37" fontId="17" fillId="0" borderId="0" xfId="0" applyNumberFormat="1" applyFont="1" applyFill="1" applyBorder="1" applyAlignment="1" applyProtection="1">
      <alignment/>
      <protection/>
    </xf>
    <xf numFmtId="0" fontId="29" fillId="42" borderId="19" xfId="0" applyNumberFormat="1" applyFont="1" applyFill="1" applyBorder="1" applyAlignment="1" applyProtection="1">
      <alignment horizontal="center"/>
      <protection/>
    </xf>
    <xf numFmtId="0" fontId="29" fillId="42" borderId="20" xfId="0" applyNumberFormat="1" applyFont="1" applyFill="1" applyBorder="1" applyAlignment="1" applyProtection="1">
      <alignment horizontal="center"/>
      <protection/>
    </xf>
    <xf numFmtId="0" fontId="15" fillId="35" borderId="26" xfId="68" applyFont="1" applyFill="1" applyBorder="1" applyAlignment="1">
      <alignment horizontal="centerContinuous"/>
      <protection/>
    </xf>
    <xf numFmtId="0" fontId="15" fillId="35" borderId="19" xfId="68" applyFont="1" applyFill="1" applyBorder="1" applyAlignment="1">
      <alignment horizontal="centerContinuous"/>
      <protection/>
    </xf>
    <xf numFmtId="0" fontId="15" fillId="35" borderId="20" xfId="68" applyFont="1" applyFill="1" applyBorder="1" applyAlignment="1">
      <alignment horizontal="centerContinuous"/>
      <protection/>
    </xf>
    <xf numFmtId="37" fontId="13" fillId="0" borderId="0" xfId="0" applyNumberFormat="1" applyFont="1" applyFill="1" applyBorder="1" applyAlignment="1" applyProtection="1">
      <alignment horizontal="left" vertical="center"/>
      <protection/>
    </xf>
    <xf numFmtId="0" fontId="0" fillId="40" borderId="0" xfId="0" applyFill="1" applyBorder="1" applyAlignment="1">
      <alignment/>
    </xf>
    <xf numFmtId="0" fontId="12" fillId="36" borderId="0" xfId="0" applyFont="1" applyFill="1" applyBorder="1" applyAlignment="1">
      <alignment/>
    </xf>
    <xf numFmtId="37" fontId="6" fillId="37" borderId="0" xfId="0" applyNumberFormat="1" applyFont="1" applyFill="1" applyBorder="1" applyAlignment="1" applyProtection="1">
      <alignment/>
      <protection/>
    </xf>
    <xf numFmtId="37" fontId="6" fillId="43" borderId="0" xfId="0" applyNumberFormat="1" applyFont="1" applyFill="1" applyBorder="1" applyAlignment="1" applyProtection="1">
      <alignment/>
      <protection/>
    </xf>
    <xf numFmtId="41" fontId="20" fillId="42" borderId="27" xfId="0" applyNumberFormat="1" applyFont="1" applyFill="1" applyBorder="1" applyAlignment="1" applyProtection="1">
      <alignment horizontal="right" vertical="center" indent="1"/>
      <protection/>
    </xf>
    <xf numFmtId="41" fontId="20" fillId="42" borderId="28" xfId="0" applyNumberFormat="1" applyFont="1" applyFill="1" applyBorder="1" applyAlignment="1" applyProtection="1">
      <alignment horizontal="right" vertical="center" indent="1"/>
      <protection/>
    </xf>
    <xf numFmtId="37" fontId="11" fillId="40" borderId="0" xfId="0" applyNumberFormat="1" applyFont="1" applyFill="1" applyBorder="1" applyAlignment="1" applyProtection="1">
      <alignment horizontal="centerContinuous"/>
      <protection/>
    </xf>
    <xf numFmtId="0" fontId="22" fillId="43" borderId="0" xfId="0" applyFont="1" applyFill="1" applyAlignment="1">
      <alignment/>
    </xf>
    <xf numFmtId="41" fontId="0" fillId="0" borderId="0" xfId="0" applyNumberFormat="1" applyAlignment="1">
      <alignment/>
    </xf>
    <xf numFmtId="0" fontId="24" fillId="36" borderId="0" xfId="0" applyFont="1" applyFill="1" applyAlignment="1">
      <alignment/>
    </xf>
    <xf numFmtId="0" fontId="24" fillId="0" borderId="0" xfId="0" applyFont="1" applyAlignment="1">
      <alignment/>
    </xf>
    <xf numFmtId="0" fontId="24" fillId="0" borderId="0" xfId="0" applyFont="1" applyFill="1" applyAlignment="1">
      <alignment/>
    </xf>
    <xf numFmtId="43" fontId="0" fillId="36" borderId="0" xfId="0" applyNumberFormat="1" applyFill="1" applyAlignment="1">
      <alignment/>
    </xf>
    <xf numFmtId="0" fontId="0" fillId="0" borderId="0" xfId="0" applyAlignment="1" quotePrefix="1">
      <alignment/>
    </xf>
    <xf numFmtId="41" fontId="0" fillId="0" borderId="0" xfId="0" applyNumberFormat="1" applyAlignment="1" quotePrefix="1">
      <alignment/>
    </xf>
    <xf numFmtId="37" fontId="2" fillId="40" borderId="29" xfId="0" applyNumberFormat="1" applyFont="1" applyFill="1" applyBorder="1" applyAlignment="1" applyProtection="1">
      <alignment horizontal="center"/>
      <protection/>
    </xf>
    <xf numFmtId="37" fontId="2" fillId="40" borderId="0" xfId="0" applyNumberFormat="1" applyFont="1" applyFill="1" applyBorder="1" applyAlignment="1" applyProtection="1">
      <alignment/>
      <protection/>
    </xf>
    <xf numFmtId="37" fontId="11" fillId="40" borderId="0" xfId="0" applyNumberFormat="1" applyFont="1" applyFill="1" applyBorder="1" applyAlignment="1" applyProtection="1">
      <alignment/>
      <protection/>
    </xf>
    <xf numFmtId="37" fontId="11" fillId="40" borderId="0" xfId="0" applyNumberFormat="1" applyFont="1" applyFill="1" applyBorder="1" applyAlignment="1" applyProtection="1">
      <alignment horizontal="center"/>
      <protection/>
    </xf>
    <xf numFmtId="166" fontId="13" fillId="0" borderId="0" xfId="63" applyNumberFormat="1" applyFont="1" applyFill="1" applyBorder="1" applyAlignment="1" applyProtection="1">
      <alignment horizontal="center" vertical="center"/>
      <protection/>
    </xf>
    <xf numFmtId="0" fontId="15" fillId="35" borderId="30" xfId="68" applyFont="1" applyFill="1" applyBorder="1" applyAlignment="1">
      <alignment horizontal="centerContinuous"/>
      <protection/>
    </xf>
    <xf numFmtId="0" fontId="15" fillId="35" borderId="21" xfId="68" applyFont="1" applyFill="1" applyBorder="1" applyAlignment="1">
      <alignment horizontal="centerContinuous"/>
      <protection/>
    </xf>
    <xf numFmtId="41" fontId="26" fillId="42" borderId="21" xfId="0" applyNumberFormat="1" applyFont="1" applyFill="1" applyBorder="1" applyAlignment="1">
      <alignment/>
    </xf>
    <xf numFmtId="41" fontId="20" fillId="42" borderId="31" xfId="0" applyNumberFormat="1" applyFont="1" applyFill="1" applyBorder="1" applyAlignment="1" applyProtection="1">
      <alignment horizontal="right" vertical="center" indent="1"/>
      <protection/>
    </xf>
    <xf numFmtId="41" fontId="20" fillId="42" borderId="32" xfId="0" applyNumberFormat="1" applyFont="1" applyFill="1" applyBorder="1" applyAlignment="1" applyProtection="1">
      <alignment horizontal="right" vertical="center" indent="1"/>
      <protection/>
    </xf>
    <xf numFmtId="0" fontId="31" fillId="0" borderId="0" xfId="0" applyFont="1" applyAlignment="1">
      <alignment/>
    </xf>
    <xf numFmtId="0" fontId="23" fillId="0" borderId="0" xfId="0" applyFont="1" applyFill="1" applyAlignment="1">
      <alignment/>
    </xf>
    <xf numFmtId="41" fontId="20" fillId="36" borderId="0" xfId="0" applyNumberFormat="1" applyFont="1" applyFill="1" applyBorder="1" applyAlignment="1" applyProtection="1">
      <alignment horizontal="right" vertical="center" indent="1"/>
      <protection/>
    </xf>
    <xf numFmtId="0" fontId="18" fillId="0" borderId="0" xfId="0" applyFont="1" applyFill="1" applyAlignment="1">
      <alignment/>
    </xf>
    <xf numFmtId="0" fontId="13" fillId="0" borderId="0" xfId="59" applyFont="1" applyAlignment="1">
      <alignment/>
      <protection/>
    </xf>
    <xf numFmtId="0" fontId="13" fillId="0" borderId="0" xfId="59" applyFont="1" quotePrefix="1">
      <alignment/>
      <protection/>
    </xf>
    <xf numFmtId="10" fontId="22" fillId="0" borderId="0" xfId="63" applyNumberFormat="1" applyFont="1" applyFill="1" applyBorder="1" applyAlignment="1" applyProtection="1">
      <alignment horizontal="center" vertical="center"/>
      <protection/>
    </xf>
    <xf numFmtId="0" fontId="0" fillId="43" borderId="33" xfId="0" applyFill="1" applyBorder="1" applyAlignment="1">
      <alignment/>
    </xf>
    <xf numFmtId="41" fontId="22" fillId="43" borderId="23" xfId="0" applyNumberFormat="1" applyFont="1" applyFill="1" applyBorder="1" applyAlignment="1" applyProtection="1">
      <alignment horizontal="right" vertical="center" indent="1"/>
      <protection/>
    </xf>
    <xf numFmtId="0" fontId="0" fillId="43" borderId="26" xfId="0" applyFill="1" applyBorder="1" applyAlignment="1">
      <alignment/>
    </xf>
    <xf numFmtId="0" fontId="23" fillId="43" borderId="20" xfId="0" applyFont="1" applyFill="1" applyBorder="1" applyAlignment="1">
      <alignment/>
    </xf>
    <xf numFmtId="0" fontId="28" fillId="44" borderId="0" xfId="0" applyFont="1" applyFill="1" applyBorder="1" applyAlignment="1">
      <alignment horizontal="center"/>
    </xf>
    <xf numFmtId="41" fontId="20" fillId="44" borderId="0" xfId="0" applyNumberFormat="1" applyFont="1" applyFill="1" applyBorder="1" applyAlignment="1" applyProtection="1">
      <alignment horizontal="right" vertical="center" indent="1"/>
      <protection/>
    </xf>
    <xf numFmtId="1" fontId="2" fillId="38" borderId="34" xfId="60" applyNumberFormat="1" applyFont="1" applyFill="1" applyBorder="1" applyAlignment="1">
      <alignment horizontal="center" vertical="top" wrapText="1"/>
      <protection/>
    </xf>
    <xf numFmtId="166" fontId="22" fillId="43" borderId="21" xfId="63" applyNumberFormat="1" applyFont="1" applyFill="1" applyBorder="1" applyAlignment="1" applyProtection="1">
      <alignment horizontal="right" vertical="center" indent="1"/>
      <protection/>
    </xf>
    <xf numFmtId="0" fontId="18" fillId="0" borderId="0" xfId="0" applyFont="1" applyAlignment="1">
      <alignment/>
    </xf>
    <xf numFmtId="0" fontId="18" fillId="0" borderId="0" xfId="0" applyFont="1" applyAlignment="1">
      <alignment horizontal="right"/>
    </xf>
    <xf numFmtId="37" fontId="18" fillId="0" borderId="0" xfId="0" applyNumberFormat="1" applyFont="1" applyAlignment="1">
      <alignment/>
    </xf>
    <xf numFmtId="0" fontId="18" fillId="37" borderId="0" xfId="0" applyFont="1" applyFill="1" applyBorder="1" applyAlignment="1">
      <alignment/>
    </xf>
    <xf numFmtId="0" fontId="22" fillId="43" borderId="0" xfId="0" applyFont="1" applyFill="1" applyBorder="1" applyAlignment="1">
      <alignment/>
    </xf>
    <xf numFmtId="0" fontId="18" fillId="0" borderId="0" xfId="0" applyFont="1" applyFill="1" applyBorder="1" applyAlignment="1">
      <alignment/>
    </xf>
    <xf numFmtId="41" fontId="20" fillId="42" borderId="35" xfId="0" applyNumberFormat="1" applyFont="1" applyFill="1" applyBorder="1" applyAlignment="1" applyProtection="1">
      <alignment horizontal="right" vertical="center" indent="1"/>
      <protection/>
    </xf>
    <xf numFmtId="0" fontId="23" fillId="0" borderId="0" xfId="0" applyFont="1" applyAlignment="1">
      <alignment wrapText="1"/>
    </xf>
    <xf numFmtId="0" fontId="1" fillId="36" borderId="0" xfId="0" applyFont="1" applyFill="1" applyAlignment="1">
      <alignment/>
    </xf>
    <xf numFmtId="0" fontId="1" fillId="36" borderId="0" xfId="0" applyFont="1" applyFill="1" applyBorder="1" applyAlignment="1">
      <alignment/>
    </xf>
    <xf numFmtId="0" fontId="33" fillId="36" borderId="0" xfId="0" applyFont="1" applyFill="1" applyBorder="1" applyAlignment="1">
      <alignment/>
    </xf>
    <xf numFmtId="0" fontId="0" fillId="0" borderId="0" xfId="0" applyBorder="1" applyAlignment="1">
      <alignment/>
    </xf>
    <xf numFmtId="0" fontId="31" fillId="43" borderId="22" xfId="0" applyNumberFormat="1" applyFont="1" applyFill="1" applyBorder="1" applyAlignment="1" applyProtection="1">
      <alignment horizontal="left" vertical="center" indent="1"/>
      <protection/>
    </xf>
    <xf numFmtId="37" fontId="34" fillId="36" borderId="12" xfId="0" applyNumberFormat="1" applyFont="1" applyFill="1" applyBorder="1" applyAlignment="1" applyProtection="1">
      <alignment vertical="center" wrapText="1"/>
      <protection/>
    </xf>
    <xf numFmtId="37" fontId="34" fillId="36" borderId="29" xfId="0" applyNumberFormat="1" applyFont="1" applyFill="1" applyBorder="1" applyAlignment="1" applyProtection="1">
      <alignment vertical="center" wrapText="1"/>
      <protection/>
    </xf>
    <xf numFmtId="37" fontId="34" fillId="36" borderId="36" xfId="0" applyNumberFormat="1" applyFont="1" applyFill="1" applyBorder="1" applyAlignment="1" applyProtection="1">
      <alignment vertical="center" wrapText="1"/>
      <protection/>
    </xf>
    <xf numFmtId="37" fontId="13" fillId="39" borderId="0" xfId="0" applyNumberFormat="1" applyFont="1" applyFill="1" applyBorder="1" applyAlignment="1" applyProtection="1">
      <alignment vertical="center"/>
      <protection/>
    </xf>
    <xf numFmtId="37" fontId="13" fillId="36" borderId="0" xfId="0" applyNumberFormat="1" applyFont="1" applyFill="1" applyBorder="1" applyAlignment="1" applyProtection="1">
      <alignment horizontal="left" vertical="center"/>
      <protection/>
    </xf>
    <xf numFmtId="0" fontId="28" fillId="36" borderId="0" xfId="0" applyFont="1" applyFill="1" applyBorder="1" applyAlignment="1">
      <alignment horizontal="center"/>
    </xf>
    <xf numFmtId="0" fontId="36" fillId="36" borderId="0" xfId="0" applyFont="1" applyFill="1" applyBorder="1" applyAlignment="1">
      <alignment/>
    </xf>
    <xf numFmtId="0" fontId="40" fillId="0" borderId="0" xfId="0" applyFont="1" applyAlignment="1">
      <alignment horizontal="right"/>
    </xf>
    <xf numFmtId="0" fontId="40" fillId="0" borderId="0" xfId="0" applyFont="1" applyAlignment="1">
      <alignment/>
    </xf>
    <xf numFmtId="37" fontId="13" fillId="0" borderId="37" xfId="0" applyNumberFormat="1" applyFont="1" applyFill="1" applyBorder="1" applyAlignment="1" applyProtection="1">
      <alignment horizontal="left" vertical="center"/>
      <protection/>
    </xf>
    <xf numFmtId="37" fontId="13" fillId="0" borderId="38" xfId="0" applyNumberFormat="1" applyFont="1" applyFill="1" applyBorder="1" applyAlignment="1" applyProtection="1">
      <alignment horizontal="left" vertical="center"/>
      <protection/>
    </xf>
    <xf numFmtId="41" fontId="13" fillId="39" borderId="0" xfId="0" applyNumberFormat="1" applyFont="1" applyFill="1" applyBorder="1" applyAlignment="1" applyProtection="1">
      <alignment horizontal="right" vertical="center" indent="1"/>
      <protection/>
    </xf>
    <xf numFmtId="37" fontId="0" fillId="0" borderId="0" xfId="0" applyNumberFormat="1" applyAlignment="1">
      <alignment/>
    </xf>
    <xf numFmtId="0" fontId="16" fillId="0" borderId="0" xfId="0" applyFont="1" applyAlignment="1">
      <alignment horizontal="right"/>
    </xf>
    <xf numFmtId="0" fontId="26" fillId="40" borderId="0" xfId="0" applyFont="1" applyFill="1" applyBorder="1" applyAlignment="1">
      <alignment/>
    </xf>
    <xf numFmtId="37" fontId="13" fillId="39" borderId="0" xfId="0" applyNumberFormat="1" applyFont="1" applyFill="1" applyBorder="1" applyAlignment="1" applyProtection="1">
      <alignment horizontal="center" vertical="center"/>
      <protection/>
    </xf>
    <xf numFmtId="37" fontId="13" fillId="39" borderId="0" xfId="0" applyNumberFormat="1" applyFont="1" applyFill="1" applyBorder="1" applyAlignment="1" applyProtection="1">
      <alignment horizontal="left" vertical="center"/>
      <protection/>
    </xf>
    <xf numFmtId="0" fontId="0" fillId="37" borderId="0" xfId="0" applyFill="1" applyBorder="1" applyAlignment="1">
      <alignment/>
    </xf>
    <xf numFmtId="0" fontId="18" fillId="36" borderId="0" xfId="0" applyFont="1" applyFill="1" applyBorder="1" applyAlignment="1">
      <alignment/>
    </xf>
    <xf numFmtId="168" fontId="13" fillId="39" borderId="0" xfId="0" applyNumberFormat="1" applyFont="1" applyFill="1" applyBorder="1" applyAlignment="1" applyProtection="1">
      <alignment horizontal="right" vertical="center" indent="1"/>
      <protection/>
    </xf>
    <xf numFmtId="168" fontId="20" fillId="36" borderId="0" xfId="0" applyNumberFormat="1" applyFont="1" applyFill="1" applyBorder="1" applyAlignment="1" applyProtection="1">
      <alignment horizontal="right" vertical="center" indent="1"/>
      <protection/>
    </xf>
    <xf numFmtId="37" fontId="13" fillId="36" borderId="0" xfId="0" applyNumberFormat="1" applyFont="1" applyFill="1" applyBorder="1" applyAlignment="1" applyProtection="1">
      <alignment horizontal="center" vertical="center"/>
      <protection/>
    </xf>
    <xf numFmtId="37" fontId="13" fillId="36" borderId="0" xfId="0" applyNumberFormat="1" applyFont="1" applyFill="1" applyBorder="1" applyAlignment="1" applyProtection="1">
      <alignment horizontal="left" vertical="center" indent="1"/>
      <protection/>
    </xf>
    <xf numFmtId="0" fontId="24" fillId="37" borderId="0" xfId="0" applyFont="1" applyFill="1" applyBorder="1" applyAlignment="1">
      <alignment/>
    </xf>
    <xf numFmtId="43" fontId="0" fillId="37" borderId="0" xfId="0" applyNumberFormat="1" applyFill="1" applyBorder="1" applyAlignment="1">
      <alignment/>
    </xf>
    <xf numFmtId="37" fontId="13" fillId="37" borderId="0" xfId="0" applyNumberFormat="1" applyFont="1" applyFill="1" applyBorder="1" applyAlignment="1" applyProtection="1">
      <alignment horizontal="center" vertical="center"/>
      <protection/>
    </xf>
    <xf numFmtId="10" fontId="20" fillId="37" borderId="0" xfId="63" applyNumberFormat="1" applyFont="1" applyFill="1" applyBorder="1" applyAlignment="1" applyProtection="1">
      <alignment horizontal="center" vertical="center"/>
      <protection/>
    </xf>
    <xf numFmtId="2" fontId="13" fillId="37" borderId="0" xfId="63" applyNumberFormat="1" applyFont="1" applyFill="1" applyBorder="1" applyAlignment="1" applyProtection="1">
      <alignment horizontal="center" vertical="center"/>
      <protection/>
    </xf>
    <xf numFmtId="10" fontId="13" fillId="37" borderId="0" xfId="0" applyNumberFormat="1" applyFont="1" applyFill="1" applyBorder="1" applyAlignment="1" applyProtection="1">
      <alignment horizontal="center" vertical="center"/>
      <protection/>
    </xf>
    <xf numFmtId="41" fontId="13" fillId="37" borderId="0" xfId="0" applyNumberFormat="1" applyFont="1" applyFill="1" applyBorder="1" applyAlignment="1" applyProtection="1">
      <alignment horizontal="right" vertical="center" indent="1"/>
      <protection/>
    </xf>
    <xf numFmtId="10" fontId="20" fillId="0" borderId="0" xfId="63" applyNumberFormat="1" applyFont="1" applyFill="1" applyBorder="1" applyAlignment="1" applyProtection="1">
      <alignment horizontal="center" vertical="center"/>
      <protection/>
    </xf>
    <xf numFmtId="168" fontId="20" fillId="0" borderId="0" xfId="0" applyNumberFormat="1" applyFont="1" applyFill="1" applyBorder="1" applyAlignment="1" applyProtection="1">
      <alignment horizontal="right" vertical="center" indent="1"/>
      <protection/>
    </xf>
    <xf numFmtId="0" fontId="25" fillId="0" borderId="0" xfId="0" applyFont="1" applyFill="1" applyBorder="1" applyAlignment="1">
      <alignment/>
    </xf>
    <xf numFmtId="0" fontId="20" fillId="0" borderId="0" xfId="0" applyFont="1" applyFill="1" applyBorder="1" applyAlignment="1">
      <alignment/>
    </xf>
    <xf numFmtId="168" fontId="13" fillId="37" borderId="0" xfId="0" applyNumberFormat="1" applyFont="1" applyFill="1" applyBorder="1" applyAlignment="1" applyProtection="1">
      <alignment horizontal="right" vertical="center" indent="1"/>
      <protection/>
    </xf>
    <xf numFmtId="0" fontId="0" fillId="43" borderId="0" xfId="0" applyFill="1" applyBorder="1" applyAlignment="1">
      <alignment/>
    </xf>
    <xf numFmtId="0" fontId="22" fillId="43" borderId="0" xfId="0" applyFont="1" applyFill="1" applyBorder="1" applyAlignment="1">
      <alignment/>
    </xf>
    <xf numFmtId="0" fontId="18" fillId="37" borderId="0" xfId="0" applyFont="1" applyFill="1" applyBorder="1" applyAlignment="1">
      <alignment/>
    </xf>
    <xf numFmtId="0" fontId="18" fillId="0" borderId="0" xfId="0" applyFont="1" applyFill="1" applyBorder="1" applyAlignment="1">
      <alignment/>
    </xf>
    <xf numFmtId="168" fontId="13" fillId="39" borderId="0" xfId="0" applyNumberFormat="1" applyFont="1" applyFill="1" applyBorder="1" applyAlignment="1" applyProtection="1">
      <alignment vertical="center"/>
      <protection/>
    </xf>
    <xf numFmtId="0" fontId="18" fillId="36" borderId="0" xfId="0" applyFont="1" applyFill="1" applyBorder="1" applyAlignment="1">
      <alignment/>
    </xf>
    <xf numFmtId="37" fontId="13" fillId="37" borderId="0" xfId="0" applyNumberFormat="1" applyFont="1" applyFill="1" applyBorder="1" applyAlignment="1" applyProtection="1">
      <alignment/>
      <protection/>
    </xf>
    <xf numFmtId="37" fontId="13" fillId="0" borderId="0" xfId="0" applyNumberFormat="1" applyFont="1" applyFill="1" applyBorder="1" applyAlignment="1" applyProtection="1">
      <alignment/>
      <protection/>
    </xf>
    <xf numFmtId="37" fontId="13" fillId="39" borderId="0" xfId="0" applyNumberFormat="1" applyFont="1" applyFill="1" applyBorder="1" applyAlignment="1" applyProtection="1">
      <alignment horizontal="right" vertical="center"/>
      <protection/>
    </xf>
    <xf numFmtId="168" fontId="22" fillId="43" borderId="0" xfId="0" applyNumberFormat="1" applyFont="1" applyFill="1" applyBorder="1" applyAlignment="1" applyProtection="1">
      <alignment horizontal="right" vertical="center" indent="1"/>
      <protection/>
    </xf>
    <xf numFmtId="41" fontId="22" fillId="43" borderId="0" xfId="0" applyNumberFormat="1" applyFont="1" applyFill="1" applyBorder="1" applyAlignment="1" applyProtection="1">
      <alignment horizontal="right" vertical="center" indent="1"/>
      <protection/>
    </xf>
    <xf numFmtId="39" fontId="13" fillId="39" borderId="0" xfId="0" applyNumberFormat="1" applyFont="1" applyFill="1" applyBorder="1" applyAlignment="1" applyProtection="1">
      <alignment horizontal="right" vertical="center" indent="1"/>
      <protection/>
    </xf>
    <xf numFmtId="39" fontId="20" fillId="36" borderId="0" xfId="0" applyNumberFormat="1" applyFont="1" applyFill="1" applyBorder="1" applyAlignment="1" applyProtection="1">
      <alignment horizontal="right" vertical="center" indent="1"/>
      <protection/>
    </xf>
    <xf numFmtId="37" fontId="13" fillId="39" borderId="0" xfId="0" applyNumberFormat="1" applyFont="1" applyFill="1" applyBorder="1" applyAlignment="1" applyProtection="1">
      <alignment horizontal="right" vertical="center" indent="1"/>
      <protection/>
    </xf>
    <xf numFmtId="41" fontId="13" fillId="0" borderId="0" xfId="0" applyNumberFormat="1" applyFont="1" applyFill="1" applyBorder="1" applyAlignment="1" applyProtection="1">
      <alignment horizontal="right" vertical="center" indent="1"/>
      <protection/>
    </xf>
    <xf numFmtId="37" fontId="13" fillId="37" borderId="0" xfId="0" applyNumberFormat="1" applyFont="1" applyFill="1" applyBorder="1" applyAlignment="1" applyProtection="1">
      <alignment/>
      <protection/>
    </xf>
    <xf numFmtId="37" fontId="14" fillId="0" borderId="0" xfId="0" applyNumberFormat="1" applyFont="1" applyFill="1" applyBorder="1" applyAlignment="1" applyProtection="1">
      <alignment horizontal="center"/>
      <protection/>
    </xf>
    <xf numFmtId="37" fontId="14" fillId="0" borderId="0" xfId="0" applyNumberFormat="1" applyFont="1" applyFill="1" applyBorder="1" applyAlignment="1" applyProtection="1">
      <alignment/>
      <protection/>
    </xf>
    <xf numFmtId="37" fontId="46" fillId="0" borderId="0" xfId="0" applyNumberFormat="1" applyFont="1" applyFill="1" applyBorder="1" applyAlignment="1" applyProtection="1">
      <alignment/>
      <protection/>
    </xf>
    <xf numFmtId="37" fontId="46" fillId="0" borderId="0" xfId="0" applyNumberFormat="1" applyFont="1" applyFill="1" applyBorder="1" applyAlignment="1" applyProtection="1">
      <alignment horizontal="center"/>
      <protection/>
    </xf>
    <xf numFmtId="37" fontId="46" fillId="0" borderId="0" xfId="0" applyNumberFormat="1" applyFont="1" applyFill="1" applyBorder="1" applyAlignment="1" applyProtection="1">
      <alignment horizontal="centerContinuous"/>
      <protection/>
    </xf>
    <xf numFmtId="0" fontId="46" fillId="0" borderId="0" xfId="0" applyFont="1" applyFill="1" applyBorder="1" applyAlignment="1">
      <alignment horizontal="centerContinuous"/>
    </xf>
    <xf numFmtId="37" fontId="6" fillId="0" borderId="0" xfId="0" applyNumberFormat="1" applyFont="1" applyFill="1" applyBorder="1" applyAlignment="1" applyProtection="1">
      <alignment horizontal="center"/>
      <protection/>
    </xf>
    <xf numFmtId="41" fontId="7" fillId="0" borderId="0" xfId="0" applyNumberFormat="1" applyFont="1" applyFill="1" applyBorder="1" applyAlignment="1" applyProtection="1">
      <alignment horizontal="right"/>
      <protection/>
    </xf>
    <xf numFmtId="37" fontId="13" fillId="0" borderId="0" xfId="0" applyNumberFormat="1" applyFont="1" applyFill="1" applyBorder="1" applyAlignment="1" applyProtection="1">
      <alignment horizontal="center" vertical="center"/>
      <protection/>
    </xf>
    <xf numFmtId="168" fontId="13" fillId="0" borderId="0" xfId="0" applyNumberFormat="1" applyFont="1" applyFill="1" applyBorder="1" applyAlignment="1" applyProtection="1">
      <alignment horizontal="right" vertical="center" indent="1"/>
      <protection/>
    </xf>
    <xf numFmtId="0" fontId="47" fillId="0" borderId="0" xfId="0" applyFont="1" applyFill="1" applyBorder="1" applyAlignment="1">
      <alignment horizontal="center"/>
    </xf>
    <xf numFmtId="0" fontId="47" fillId="0" borderId="0" xfId="0" applyFont="1" applyFill="1" applyBorder="1" applyAlignment="1">
      <alignment horizontal="centerContinuous"/>
    </xf>
    <xf numFmtId="191" fontId="13" fillId="36" borderId="0" xfId="44" applyNumberFormat="1" applyFont="1" applyFill="1" applyBorder="1" applyAlignment="1" applyProtection="1">
      <alignment horizontal="right" vertical="center" indent="1"/>
      <protection/>
    </xf>
    <xf numFmtId="41" fontId="47" fillId="0" borderId="0" xfId="0" applyNumberFormat="1" applyFont="1" applyFill="1" applyBorder="1" applyAlignment="1" applyProtection="1">
      <alignment horizontal="right" vertical="center" indent="1"/>
      <protection/>
    </xf>
    <xf numFmtId="10" fontId="13" fillId="0" borderId="0" xfId="63" applyNumberFormat="1" applyFont="1" applyFill="1" applyBorder="1" applyAlignment="1" applyProtection="1">
      <alignment horizontal="center" vertical="center"/>
      <protection/>
    </xf>
    <xf numFmtId="2" fontId="13" fillId="0" borderId="0" xfId="63" applyNumberFormat="1" applyFont="1" applyFill="1" applyBorder="1" applyAlignment="1" applyProtection="1">
      <alignment horizontal="center" vertical="center"/>
      <protection/>
    </xf>
    <xf numFmtId="10" fontId="13" fillId="37" borderId="0" xfId="63" applyNumberFormat="1" applyFont="1" applyFill="1" applyBorder="1" applyAlignment="1" applyProtection="1">
      <alignment horizontal="center" vertical="center"/>
      <protection/>
    </xf>
    <xf numFmtId="10" fontId="13" fillId="0" borderId="0" xfId="0" applyNumberFormat="1" applyFont="1" applyFill="1" applyBorder="1" applyAlignment="1" applyProtection="1">
      <alignment horizontal="center" vertical="center"/>
      <protection/>
    </xf>
    <xf numFmtId="168" fontId="13" fillId="36" borderId="0" xfId="0" applyNumberFormat="1" applyFont="1" applyFill="1" applyBorder="1" applyAlignment="1" applyProtection="1">
      <alignment horizontal="right" vertical="center" indent="1"/>
      <protection/>
    </xf>
    <xf numFmtId="191" fontId="13" fillId="0" borderId="0" xfId="44" applyNumberFormat="1" applyFont="1" applyFill="1" applyBorder="1" applyAlignment="1" applyProtection="1">
      <alignment horizontal="right" vertical="center" indent="1"/>
      <protection/>
    </xf>
    <xf numFmtId="41" fontId="13" fillId="36" borderId="0" xfId="0" applyNumberFormat="1" applyFont="1" applyFill="1" applyBorder="1" applyAlignment="1" applyProtection="1">
      <alignment horizontal="right" vertical="center" indent="1"/>
      <protection/>
    </xf>
    <xf numFmtId="168" fontId="0" fillId="36" borderId="0" xfId="0" applyNumberFormat="1" applyFill="1" applyAlignment="1">
      <alignment/>
    </xf>
    <xf numFmtId="0" fontId="0" fillId="0" borderId="0" xfId="0" applyFont="1" applyFill="1" applyBorder="1" applyAlignment="1">
      <alignment/>
    </xf>
    <xf numFmtId="0" fontId="0" fillId="37" borderId="0" xfId="0" applyFont="1" applyFill="1" applyBorder="1" applyAlignment="1">
      <alignment/>
    </xf>
    <xf numFmtId="168" fontId="13" fillId="36" borderId="0" xfId="0" applyNumberFormat="1" applyFont="1" applyFill="1" applyBorder="1" applyAlignment="1" applyProtection="1">
      <alignment vertical="center"/>
      <protection/>
    </xf>
    <xf numFmtId="37" fontId="13" fillId="36" borderId="0" xfId="0" applyNumberFormat="1" applyFont="1" applyFill="1" applyBorder="1" applyAlignment="1" applyProtection="1">
      <alignment vertical="center"/>
      <protection/>
    </xf>
    <xf numFmtId="0" fontId="0" fillId="36" borderId="0" xfId="0" applyFont="1" applyFill="1" applyBorder="1" applyAlignment="1">
      <alignment/>
    </xf>
    <xf numFmtId="37" fontId="2" fillId="37" borderId="0" xfId="0" applyNumberFormat="1" applyFont="1" applyFill="1" applyBorder="1" applyAlignment="1" applyProtection="1">
      <alignment horizontal="center"/>
      <protection/>
    </xf>
    <xf numFmtId="37" fontId="6" fillId="0" borderId="0" xfId="0" applyNumberFormat="1" applyFont="1" applyFill="1" applyBorder="1" applyAlignment="1" applyProtection="1">
      <alignment horizontal="left"/>
      <protection/>
    </xf>
    <xf numFmtId="41" fontId="13" fillId="36" borderId="0" xfId="0" applyNumberFormat="1" applyFont="1" applyFill="1" applyBorder="1" applyAlignment="1" applyProtection="1">
      <alignment horizontal="left" vertical="center"/>
      <protection/>
    </xf>
    <xf numFmtId="41" fontId="13" fillId="39" borderId="0" xfId="0" applyNumberFormat="1" applyFont="1" applyFill="1" applyBorder="1" applyAlignment="1" applyProtection="1">
      <alignment horizontal="left" vertical="center"/>
      <protection/>
    </xf>
    <xf numFmtId="41" fontId="13" fillId="39" borderId="0" xfId="0" applyNumberFormat="1" applyFont="1" applyFill="1" applyBorder="1" applyAlignment="1" applyProtection="1">
      <alignment vertical="center"/>
      <protection/>
    </xf>
    <xf numFmtId="41" fontId="13" fillId="36" borderId="0" xfId="0" applyNumberFormat="1" applyFont="1" applyFill="1" applyBorder="1" applyAlignment="1" applyProtection="1">
      <alignment vertical="center"/>
      <protection/>
    </xf>
    <xf numFmtId="42" fontId="13" fillId="36" borderId="0" xfId="0" applyNumberFormat="1" applyFont="1" applyFill="1" applyBorder="1" applyAlignment="1" applyProtection="1">
      <alignment horizontal="right" vertical="center" indent="1"/>
      <protection/>
    </xf>
    <xf numFmtId="42" fontId="13" fillId="0" borderId="0" xfId="0" applyNumberFormat="1" applyFont="1" applyFill="1" applyBorder="1" applyAlignment="1" applyProtection="1">
      <alignment horizontal="right" vertical="center" indent="1"/>
      <protection/>
    </xf>
    <xf numFmtId="39" fontId="13" fillId="36" borderId="0" xfId="0" applyNumberFormat="1" applyFont="1" applyFill="1" applyBorder="1" applyAlignment="1" applyProtection="1">
      <alignment horizontal="right" vertical="center" indent="1"/>
      <protection/>
    </xf>
    <xf numFmtId="0" fontId="0" fillId="0" borderId="0" xfId="0" applyFont="1" applyBorder="1" applyAlignment="1">
      <alignment/>
    </xf>
    <xf numFmtId="41" fontId="13" fillId="0" borderId="0" xfId="0" applyNumberFormat="1" applyFont="1" applyFill="1" applyBorder="1" applyAlignment="1" applyProtection="1">
      <alignment horizontal="right" vertical="center"/>
      <protection/>
    </xf>
    <xf numFmtId="41" fontId="13" fillId="0" borderId="0" xfId="0" applyNumberFormat="1" applyFont="1" applyFill="1" applyBorder="1" applyAlignment="1" applyProtection="1">
      <alignment horizontal="left" vertical="center"/>
      <protection/>
    </xf>
    <xf numFmtId="41" fontId="13" fillId="39" borderId="0" xfId="0" applyNumberFormat="1" applyFont="1" applyFill="1" applyBorder="1" applyAlignment="1" applyProtection="1">
      <alignment horizontal="right" vertical="center"/>
      <protection/>
    </xf>
    <xf numFmtId="37" fontId="25" fillId="0" borderId="0" xfId="0" applyNumberFormat="1" applyFont="1" applyFill="1" applyBorder="1" applyAlignment="1" applyProtection="1">
      <alignment horizontal="left" vertical="center"/>
      <protection/>
    </xf>
    <xf numFmtId="37" fontId="13" fillId="0" borderId="19" xfId="0" applyNumberFormat="1" applyFont="1" applyFill="1" applyBorder="1" applyAlignment="1" applyProtection="1">
      <alignment horizontal="left" vertical="center"/>
      <protection/>
    </xf>
    <xf numFmtId="37" fontId="13" fillId="0" borderId="39" xfId="0" applyNumberFormat="1" applyFont="1" applyFill="1" applyBorder="1" applyAlignment="1" applyProtection="1">
      <alignment horizontal="left" vertical="center"/>
      <protection/>
    </xf>
    <xf numFmtId="37" fontId="13" fillId="0" borderId="40" xfId="0" applyNumberFormat="1" applyFont="1" applyFill="1" applyBorder="1" applyAlignment="1" applyProtection="1">
      <alignment horizontal="left" vertical="center"/>
      <protection/>
    </xf>
    <xf numFmtId="37" fontId="13" fillId="0" borderId="27" xfId="0" applyNumberFormat="1" applyFont="1" applyFill="1" applyBorder="1" applyAlignment="1" applyProtection="1">
      <alignment horizontal="left" vertical="center"/>
      <protection/>
    </xf>
    <xf numFmtId="41" fontId="13" fillId="0" borderId="27" xfId="0" applyNumberFormat="1" applyFont="1" applyFill="1" applyBorder="1" applyAlignment="1" applyProtection="1">
      <alignment horizontal="right" vertical="center" indent="1"/>
      <protection/>
    </xf>
    <xf numFmtId="0" fontId="18" fillId="0" borderId="30" xfId="0" applyFont="1" applyFill="1" applyBorder="1" applyAlignment="1">
      <alignment/>
    </xf>
    <xf numFmtId="41" fontId="18" fillId="0" borderId="0" xfId="0" applyNumberFormat="1" applyFont="1" applyFill="1" applyBorder="1" applyAlignment="1">
      <alignment/>
    </xf>
    <xf numFmtId="37" fontId="13" fillId="0" borderId="30" xfId="0" applyNumberFormat="1" applyFont="1" applyFill="1" applyBorder="1" applyAlignment="1" applyProtection="1">
      <alignment vertical="center"/>
      <protection/>
    </xf>
    <xf numFmtId="37" fontId="13" fillId="0" borderId="41" xfId="0" applyNumberFormat="1" applyFont="1" applyFill="1" applyBorder="1" applyAlignment="1" applyProtection="1">
      <alignment horizontal="left" vertical="center" indent="1"/>
      <protection/>
    </xf>
    <xf numFmtId="37" fontId="13" fillId="0" borderId="42" xfId="0" applyNumberFormat="1" applyFont="1" applyFill="1" applyBorder="1" applyAlignment="1" applyProtection="1">
      <alignment horizontal="left" vertical="center"/>
      <protection/>
    </xf>
    <xf numFmtId="37" fontId="13" fillId="0" borderId="43" xfId="0" applyNumberFormat="1" applyFont="1" applyFill="1" applyBorder="1" applyAlignment="1" applyProtection="1">
      <alignment horizontal="left" vertical="center"/>
      <protection/>
    </xf>
    <xf numFmtId="41" fontId="13" fillId="0" borderId="44" xfId="0" applyNumberFormat="1" applyFont="1" applyFill="1" applyBorder="1" applyAlignment="1" applyProtection="1">
      <alignment horizontal="right" vertical="center" indent="1"/>
      <protection/>
    </xf>
    <xf numFmtId="191" fontId="13" fillId="0" borderId="19" xfId="44" applyNumberFormat="1" applyFont="1" applyFill="1" applyBorder="1" applyAlignment="1" applyProtection="1">
      <alignment horizontal="right" vertical="center" indent="1"/>
      <protection/>
    </xf>
    <xf numFmtId="0" fontId="21" fillId="0" borderId="0" xfId="59" applyFont="1">
      <alignment/>
      <protection/>
    </xf>
    <xf numFmtId="37" fontId="48" fillId="36" borderId="0" xfId="0" applyNumberFormat="1" applyFont="1" applyFill="1" applyAlignment="1" applyProtection="1">
      <alignment/>
      <protection/>
    </xf>
    <xf numFmtId="0" fontId="93" fillId="36" borderId="0" xfId="0" applyFont="1" applyFill="1" applyAlignment="1">
      <alignment/>
    </xf>
    <xf numFmtId="41" fontId="48" fillId="36" borderId="0" xfId="0" applyNumberFormat="1" applyFont="1" applyFill="1" applyAlignment="1" applyProtection="1">
      <alignment/>
      <protection/>
    </xf>
    <xf numFmtId="37" fontId="94" fillId="45" borderId="0" xfId="0" applyNumberFormat="1" applyFont="1" applyFill="1" applyAlignment="1">
      <alignment horizontal="center"/>
    </xf>
    <xf numFmtId="37" fontId="49" fillId="36" borderId="0" xfId="0" applyNumberFormat="1" applyFont="1" applyFill="1" applyAlignment="1" applyProtection="1">
      <alignment/>
      <protection/>
    </xf>
    <xf numFmtId="37" fontId="49" fillId="36" borderId="0" xfId="0" applyNumberFormat="1" applyFont="1" applyFill="1" applyAlignment="1" applyProtection="1">
      <alignment horizontal="left" indent="1"/>
      <protection/>
    </xf>
    <xf numFmtId="0" fontId="47" fillId="45" borderId="0" xfId="0" applyFont="1" applyFill="1" applyBorder="1" applyAlignment="1">
      <alignment horizontal="center"/>
    </xf>
    <xf numFmtId="0" fontId="47" fillId="45" borderId="0" xfId="0" applyFont="1" applyFill="1" applyBorder="1" applyAlignment="1">
      <alignment horizontal="centerContinuous"/>
    </xf>
    <xf numFmtId="0" fontId="11" fillId="45" borderId="0" xfId="0" applyNumberFormat="1" applyFont="1" applyFill="1" applyBorder="1" applyAlignment="1" applyProtection="1">
      <alignment horizontal="center"/>
      <protection/>
    </xf>
    <xf numFmtId="0" fontId="0" fillId="45" borderId="0" xfId="0" applyFill="1" applyAlignment="1">
      <alignment/>
    </xf>
    <xf numFmtId="0" fontId="26" fillId="45" borderId="0" xfId="0" applyFont="1" applyFill="1" applyAlignment="1">
      <alignment/>
    </xf>
    <xf numFmtId="37" fontId="6" fillId="45" borderId="0" xfId="0" applyNumberFormat="1" applyFont="1" applyFill="1" applyBorder="1" applyAlignment="1" applyProtection="1">
      <alignment/>
      <protection/>
    </xf>
    <xf numFmtId="41" fontId="13" fillId="45" borderId="0" xfId="0" applyNumberFormat="1" applyFont="1" applyFill="1" applyBorder="1" applyAlignment="1" applyProtection="1">
      <alignment horizontal="left" vertical="center" indent="1"/>
      <protection/>
    </xf>
    <xf numFmtId="37" fontId="6" fillId="45" borderId="0" xfId="0" applyNumberFormat="1" applyFont="1" applyFill="1" applyBorder="1" applyAlignment="1" applyProtection="1">
      <alignment horizontal="center"/>
      <protection/>
    </xf>
    <xf numFmtId="41" fontId="7" fillId="45" borderId="0" xfId="0" applyNumberFormat="1" applyFont="1" applyFill="1" applyBorder="1" applyAlignment="1" applyProtection="1">
      <alignment horizontal="right"/>
      <protection/>
    </xf>
    <xf numFmtId="37" fontId="20" fillId="45" borderId="0" xfId="0" applyNumberFormat="1" applyFont="1" applyFill="1" applyBorder="1" applyAlignment="1" applyProtection="1">
      <alignment vertical="center"/>
      <protection/>
    </xf>
    <xf numFmtId="41" fontId="20" fillId="45" borderId="0" xfId="0" applyNumberFormat="1" applyFont="1" applyFill="1" applyBorder="1" applyAlignment="1" applyProtection="1">
      <alignment horizontal="center" vertical="center"/>
      <protection/>
    </xf>
    <xf numFmtId="37" fontId="2" fillId="45" borderId="0" xfId="0" applyNumberFormat="1" applyFont="1" applyFill="1" applyBorder="1" applyAlignment="1" applyProtection="1">
      <alignment/>
      <protection/>
    </xf>
    <xf numFmtId="37" fontId="13" fillId="45" borderId="0" xfId="0" applyNumberFormat="1" applyFont="1" applyFill="1" applyBorder="1" applyAlignment="1" applyProtection="1">
      <alignment vertical="center"/>
      <protection/>
    </xf>
    <xf numFmtId="41" fontId="13" fillId="45" borderId="0" xfId="0" applyNumberFormat="1" applyFont="1" applyFill="1" applyBorder="1" applyAlignment="1" applyProtection="1">
      <alignment horizontal="center" vertical="center"/>
      <protection/>
    </xf>
    <xf numFmtId="37" fontId="14" fillId="45" borderId="0" xfId="0" applyNumberFormat="1" applyFont="1" applyFill="1" applyBorder="1" applyAlignment="1" applyProtection="1">
      <alignment/>
      <protection/>
    </xf>
    <xf numFmtId="41" fontId="14" fillId="45" borderId="0" xfId="0" applyNumberFormat="1" applyFont="1" applyFill="1" applyBorder="1" applyAlignment="1" applyProtection="1">
      <alignment/>
      <protection/>
    </xf>
    <xf numFmtId="41" fontId="13" fillId="45" borderId="0" xfId="0" applyNumberFormat="1" applyFont="1" applyFill="1" applyBorder="1" applyAlignment="1" applyProtection="1">
      <alignment horizontal="right" vertical="center" indent="1"/>
      <protection/>
    </xf>
    <xf numFmtId="0" fontId="12" fillId="45" borderId="0" xfId="0" applyFont="1" applyFill="1" applyBorder="1" applyAlignment="1">
      <alignment/>
    </xf>
    <xf numFmtId="0" fontId="0" fillId="45" borderId="0" xfId="0" applyFill="1" applyBorder="1" applyAlignment="1">
      <alignment/>
    </xf>
    <xf numFmtId="37" fontId="13" fillId="45" borderId="0" xfId="0" applyNumberFormat="1" applyFont="1" applyFill="1" applyBorder="1" applyAlignment="1" applyProtection="1">
      <alignment horizontal="center" vertical="center"/>
      <protection/>
    </xf>
    <xf numFmtId="0" fontId="18" fillId="45" borderId="0" xfId="0" applyFont="1" applyFill="1" applyBorder="1" applyAlignment="1">
      <alignment/>
    </xf>
    <xf numFmtId="191" fontId="13" fillId="45" borderId="0" xfId="44" applyNumberFormat="1" applyFont="1" applyFill="1" applyBorder="1" applyAlignment="1" applyProtection="1">
      <alignment horizontal="left" vertical="center" indent="1"/>
      <protection/>
    </xf>
    <xf numFmtId="41" fontId="22" fillId="45" borderId="0" xfId="0" applyNumberFormat="1" applyFont="1" applyFill="1" applyBorder="1" applyAlignment="1" applyProtection="1">
      <alignment horizontal="left" vertical="center" indent="1"/>
      <protection/>
    </xf>
    <xf numFmtId="0" fontId="22" fillId="45" borderId="0" xfId="0" applyFont="1" applyFill="1" applyBorder="1" applyAlignment="1">
      <alignment/>
    </xf>
    <xf numFmtId="41" fontId="47" fillId="45" borderId="0" xfId="0" applyNumberFormat="1" applyFont="1" applyFill="1" applyBorder="1" applyAlignment="1" applyProtection="1">
      <alignment horizontal="left" vertical="center" indent="1"/>
      <protection/>
    </xf>
    <xf numFmtId="37" fontId="13" fillId="45" borderId="0" xfId="0" applyNumberFormat="1" applyFont="1" applyFill="1" applyBorder="1" applyAlignment="1" applyProtection="1">
      <alignment horizontal="left" vertical="center"/>
      <protection/>
    </xf>
    <xf numFmtId="0" fontId="25" fillId="45" borderId="0" xfId="0" applyFont="1" applyFill="1" applyBorder="1" applyAlignment="1">
      <alignment/>
    </xf>
    <xf numFmtId="41" fontId="47" fillId="45" borderId="0" xfId="0" applyNumberFormat="1" applyFont="1" applyFill="1" applyBorder="1" applyAlignment="1" applyProtection="1">
      <alignment horizontal="right" vertical="center" indent="1"/>
      <protection/>
    </xf>
    <xf numFmtId="41" fontId="20" fillId="45" borderId="0" xfId="0" applyNumberFormat="1" applyFont="1" applyFill="1" applyBorder="1" applyAlignment="1" applyProtection="1">
      <alignment horizontal="right" vertical="center" indent="1"/>
      <protection/>
    </xf>
    <xf numFmtId="0" fontId="18" fillId="45" borderId="0" xfId="0" applyFont="1" applyFill="1" applyBorder="1" applyAlignment="1">
      <alignment/>
    </xf>
    <xf numFmtId="0" fontId="13" fillId="45" borderId="0" xfId="0" applyFont="1" applyFill="1" applyBorder="1" applyAlignment="1">
      <alignment/>
    </xf>
    <xf numFmtId="0" fontId="25" fillId="45" borderId="0" xfId="0" applyFont="1" applyFill="1" applyBorder="1" applyAlignment="1">
      <alignment/>
    </xf>
    <xf numFmtId="191" fontId="13" fillId="45" borderId="0" xfId="44" applyNumberFormat="1" applyFont="1" applyFill="1" applyBorder="1" applyAlignment="1" applyProtection="1">
      <alignment horizontal="right" vertical="center" indent="1"/>
      <protection/>
    </xf>
    <xf numFmtId="0" fontId="0" fillId="45" borderId="0" xfId="0" applyFont="1" applyFill="1" applyBorder="1" applyAlignment="1">
      <alignment/>
    </xf>
    <xf numFmtId="0" fontId="1" fillId="45" borderId="0" xfId="0" applyFont="1" applyFill="1" applyBorder="1" applyAlignment="1">
      <alignment/>
    </xf>
    <xf numFmtId="41" fontId="22" fillId="43" borderId="0" xfId="0" applyNumberFormat="1" applyFont="1" applyFill="1" applyBorder="1" applyAlignment="1" applyProtection="1">
      <alignment horizontal="left" vertical="center" indent="1"/>
      <protection/>
    </xf>
    <xf numFmtId="41" fontId="20" fillId="0" borderId="0" xfId="0" applyNumberFormat="1" applyFont="1" applyFill="1" applyBorder="1" applyAlignment="1" applyProtection="1">
      <alignment horizontal="left" vertical="center" indent="1"/>
      <protection/>
    </xf>
    <xf numFmtId="37" fontId="13" fillId="39" borderId="0" xfId="0" applyNumberFormat="1" applyFont="1" applyFill="1" applyBorder="1" applyAlignment="1" applyProtection="1">
      <alignment horizontal="left" vertical="center" indent="1"/>
      <protection/>
    </xf>
    <xf numFmtId="41" fontId="13" fillId="0" borderId="0" xfId="0" applyNumberFormat="1" applyFont="1" applyFill="1" applyBorder="1" applyAlignment="1" applyProtection="1">
      <alignment horizontal="left" vertical="center" indent="1"/>
      <protection/>
    </xf>
    <xf numFmtId="41" fontId="13" fillId="43" borderId="0" xfId="0" applyNumberFormat="1" applyFont="1" applyFill="1" applyBorder="1" applyAlignment="1" applyProtection="1">
      <alignment horizontal="left" vertical="center" indent="1"/>
      <protection/>
    </xf>
    <xf numFmtId="0" fontId="25" fillId="43" borderId="0" xfId="0" applyFont="1" applyFill="1" applyBorder="1" applyAlignment="1">
      <alignment/>
    </xf>
    <xf numFmtId="0" fontId="13" fillId="43" borderId="0" xfId="0" applyFont="1" applyFill="1" applyBorder="1" applyAlignment="1">
      <alignment/>
    </xf>
    <xf numFmtId="0" fontId="25" fillId="37" borderId="0" xfId="0" applyFont="1" applyFill="1" applyBorder="1" applyAlignment="1">
      <alignment/>
    </xf>
    <xf numFmtId="0" fontId="13" fillId="37" borderId="0" xfId="0" applyFont="1" applyFill="1" applyBorder="1" applyAlignment="1">
      <alignment/>
    </xf>
    <xf numFmtId="0" fontId="25" fillId="36" borderId="0" xfId="0" applyFont="1" applyFill="1" applyBorder="1" applyAlignment="1">
      <alignment/>
    </xf>
    <xf numFmtId="0" fontId="13" fillId="0" borderId="0" xfId="0" applyFont="1" applyFill="1" applyBorder="1" applyAlignment="1">
      <alignment/>
    </xf>
    <xf numFmtId="37" fontId="13" fillId="36" borderId="0" xfId="0" applyNumberFormat="1" applyFont="1" applyFill="1" applyBorder="1" applyAlignment="1" applyProtection="1">
      <alignment vertical="center" wrapText="1"/>
      <protection/>
    </xf>
    <xf numFmtId="0" fontId="25" fillId="0" borderId="0" xfId="0" applyFont="1" applyFill="1" applyBorder="1" applyAlignment="1">
      <alignment/>
    </xf>
    <xf numFmtId="41" fontId="22" fillId="45" borderId="0" xfId="0" applyNumberFormat="1" applyFont="1" applyFill="1" applyBorder="1" applyAlignment="1" applyProtection="1">
      <alignment horizontal="right" vertical="center" indent="1"/>
      <protection/>
    </xf>
    <xf numFmtId="0" fontId="27" fillId="45" borderId="0" xfId="0" applyFont="1" applyFill="1" applyAlignment="1">
      <alignment/>
    </xf>
    <xf numFmtId="41" fontId="20" fillId="42" borderId="37" xfId="0" applyNumberFormat="1" applyFont="1" applyFill="1" applyBorder="1" applyAlignment="1" applyProtection="1">
      <alignment horizontal="right" vertical="center" indent="1"/>
      <protection/>
    </xf>
    <xf numFmtId="41" fontId="20" fillId="42" borderId="42" xfId="0" applyNumberFormat="1" applyFont="1" applyFill="1" applyBorder="1" applyAlignment="1" applyProtection="1">
      <alignment horizontal="right" vertical="center" indent="1"/>
      <protection/>
    </xf>
    <xf numFmtId="191" fontId="13" fillId="0" borderId="20" xfId="44" applyNumberFormat="1" applyFont="1" applyFill="1" applyBorder="1" applyAlignment="1" applyProtection="1">
      <alignment horizontal="right" vertical="center" indent="1"/>
      <protection/>
    </xf>
    <xf numFmtId="41" fontId="13" fillId="0" borderId="21" xfId="0" applyNumberFormat="1" applyFont="1" applyFill="1" applyBorder="1" applyAlignment="1" applyProtection="1">
      <alignment horizontal="right" vertical="center" indent="1"/>
      <protection/>
    </xf>
    <xf numFmtId="41" fontId="13" fillId="0" borderId="28" xfId="0" applyNumberFormat="1" applyFont="1" applyFill="1" applyBorder="1" applyAlignment="1" applyProtection="1">
      <alignment horizontal="right" vertical="center" indent="1"/>
      <protection/>
    </xf>
    <xf numFmtId="191" fontId="13" fillId="0" borderId="21" xfId="44" applyNumberFormat="1" applyFont="1" applyFill="1" applyBorder="1" applyAlignment="1" applyProtection="1">
      <alignment horizontal="right" vertical="center" indent="1"/>
      <protection/>
    </xf>
    <xf numFmtId="41" fontId="18" fillId="0" borderId="21" xfId="0" applyNumberFormat="1" applyFont="1" applyFill="1" applyBorder="1" applyAlignment="1">
      <alignment/>
    </xf>
    <xf numFmtId="41" fontId="13" fillId="0" borderId="23" xfId="0" applyNumberFormat="1" applyFont="1" applyFill="1" applyBorder="1" applyAlignment="1" applyProtection="1">
      <alignment horizontal="right" vertical="center" indent="1"/>
      <protection/>
    </xf>
    <xf numFmtId="42" fontId="50" fillId="36" borderId="0" xfId="0" applyNumberFormat="1" applyFont="1" applyFill="1" applyBorder="1" applyAlignment="1" applyProtection="1">
      <alignment horizontal="right" vertical="center" indent="1"/>
      <protection/>
    </xf>
    <xf numFmtId="191" fontId="50" fillId="0" borderId="22" xfId="44" applyNumberFormat="1" applyFont="1" applyFill="1" applyBorder="1" applyAlignment="1" applyProtection="1">
      <alignment horizontal="right" vertical="center" indent="1"/>
      <protection/>
    </xf>
    <xf numFmtId="191" fontId="50" fillId="0" borderId="35" xfId="44" applyNumberFormat="1" applyFont="1" applyFill="1" applyBorder="1" applyAlignment="1" applyProtection="1">
      <alignment horizontal="right" vertical="center" indent="1"/>
      <protection/>
    </xf>
    <xf numFmtId="191" fontId="50" fillId="45" borderId="0" xfId="44" applyNumberFormat="1" applyFont="1" applyFill="1" applyBorder="1" applyAlignment="1" applyProtection="1">
      <alignment horizontal="right" vertical="center" indent="1"/>
      <protection/>
    </xf>
    <xf numFmtId="41" fontId="13" fillId="38" borderId="0" xfId="0" applyNumberFormat="1" applyFont="1" applyFill="1" applyBorder="1" applyAlignment="1" applyProtection="1">
      <alignment horizontal="left" vertical="center" indent="1"/>
      <protection/>
    </xf>
    <xf numFmtId="37" fontId="32" fillId="43" borderId="0" xfId="0" applyNumberFormat="1" applyFont="1" applyFill="1" applyBorder="1" applyAlignment="1" applyProtection="1">
      <alignment/>
      <protection/>
    </xf>
    <xf numFmtId="37" fontId="6" fillId="0" borderId="0" xfId="0" applyNumberFormat="1" applyFont="1" applyFill="1" applyBorder="1" applyAlignment="1" applyProtection="1">
      <alignment/>
      <protection/>
    </xf>
    <xf numFmtId="0" fontId="13" fillId="0" borderId="0" xfId="59" applyFont="1" applyBorder="1" applyAlignment="1" quotePrefix="1">
      <alignment horizontal="left" indent="1"/>
      <protection/>
    </xf>
    <xf numFmtId="37" fontId="2" fillId="40" borderId="0" xfId="0" applyNumberFormat="1" applyFont="1" applyFill="1" applyBorder="1" applyAlignment="1" applyProtection="1">
      <alignment horizontal="center"/>
      <protection/>
    </xf>
    <xf numFmtId="41" fontId="20" fillId="36" borderId="0" xfId="0" applyNumberFormat="1" applyFont="1" applyFill="1" applyBorder="1" applyAlignment="1" applyProtection="1">
      <alignment horizontal="left" vertical="center" indent="1"/>
      <protection/>
    </xf>
    <xf numFmtId="37" fontId="19" fillId="36" borderId="0" xfId="0" applyNumberFormat="1" applyFont="1" applyFill="1" applyBorder="1" applyAlignment="1" applyProtection="1">
      <alignment/>
      <protection/>
    </xf>
    <xf numFmtId="0" fontId="13" fillId="0" borderId="0" xfId="0" applyFont="1" applyFill="1" applyBorder="1" applyAlignment="1">
      <alignment/>
    </xf>
    <xf numFmtId="37" fontId="20" fillId="45" borderId="0" xfId="0" applyNumberFormat="1" applyFont="1" applyFill="1" applyBorder="1" applyAlignment="1" applyProtection="1">
      <alignment horizontal="center" vertical="center"/>
      <protection/>
    </xf>
    <xf numFmtId="191" fontId="13" fillId="45" borderId="0" xfId="44" applyNumberFormat="1" applyFont="1" applyFill="1" applyBorder="1" applyAlignment="1" applyProtection="1">
      <alignment vertical="center"/>
      <protection/>
    </xf>
    <xf numFmtId="37" fontId="49" fillId="0" borderId="0" xfId="59" applyNumberFormat="1" applyFont="1" applyBorder="1" applyAlignment="1">
      <alignment horizontal="left" indent="1"/>
      <protection/>
    </xf>
    <xf numFmtId="0" fontId="49" fillId="0" borderId="0" xfId="59" applyFont="1" applyBorder="1" applyAlignment="1">
      <alignment horizontal="left" indent="1"/>
      <protection/>
    </xf>
    <xf numFmtId="0" fontId="49" fillId="0" borderId="0" xfId="59" applyFont="1" applyBorder="1" applyAlignment="1" quotePrefix="1">
      <alignment horizontal="left" indent="1"/>
      <protection/>
    </xf>
    <xf numFmtId="0" fontId="29" fillId="40" borderId="0" xfId="0" applyNumberFormat="1" applyFont="1" applyFill="1" applyBorder="1" applyAlignment="1" applyProtection="1">
      <alignment horizontal="center"/>
      <protection/>
    </xf>
    <xf numFmtId="0" fontId="25" fillId="40" borderId="0" xfId="0" applyFont="1" applyFill="1" applyBorder="1" applyAlignment="1">
      <alignment/>
    </xf>
    <xf numFmtId="0" fontId="20" fillId="40" borderId="0" xfId="0" applyFont="1" applyFill="1" applyBorder="1" applyAlignment="1">
      <alignment/>
    </xf>
    <xf numFmtId="0" fontId="6" fillId="36" borderId="0" xfId="0" applyFont="1" applyFill="1" applyBorder="1" applyAlignment="1">
      <alignment/>
    </xf>
    <xf numFmtId="37" fontId="13" fillId="36" borderId="0" xfId="0" applyNumberFormat="1" applyFont="1" applyFill="1" applyBorder="1" applyAlignment="1" applyProtection="1">
      <alignment/>
      <protection/>
    </xf>
    <xf numFmtId="37" fontId="13" fillId="39" borderId="0" xfId="0" applyNumberFormat="1" applyFont="1" applyFill="1" applyBorder="1" applyAlignment="1" applyProtection="1">
      <alignment/>
      <protection/>
    </xf>
    <xf numFmtId="0" fontId="13" fillId="39" borderId="0" xfId="0" applyFont="1" applyFill="1" applyBorder="1" applyAlignment="1">
      <alignment/>
    </xf>
    <xf numFmtId="37" fontId="17" fillId="37" borderId="0" xfId="0" applyNumberFormat="1" applyFont="1" applyFill="1" applyBorder="1" applyAlignment="1" applyProtection="1">
      <alignment horizontal="center"/>
      <protection/>
    </xf>
    <xf numFmtId="37" fontId="14" fillId="37" borderId="0" xfId="0" applyNumberFormat="1" applyFont="1" applyFill="1" applyBorder="1" applyAlignment="1" applyProtection="1">
      <alignment/>
      <protection/>
    </xf>
    <xf numFmtId="37" fontId="13" fillId="0" borderId="0" xfId="0" applyNumberFormat="1" applyFont="1" applyFill="1" applyBorder="1" applyAlignment="1" applyProtection="1">
      <alignment horizontal="right" vertical="center"/>
      <protection/>
    </xf>
    <xf numFmtId="37" fontId="14" fillId="37" borderId="0" xfId="0" applyNumberFormat="1" applyFont="1" applyFill="1" applyBorder="1" applyAlignment="1" applyProtection="1">
      <alignment horizontal="center"/>
      <protection/>
    </xf>
    <xf numFmtId="37" fontId="13" fillId="36" borderId="0" xfId="0" applyNumberFormat="1" applyFont="1" applyFill="1" applyBorder="1" applyAlignment="1" applyProtection="1">
      <alignment vertical="center"/>
      <protection locked="0"/>
    </xf>
    <xf numFmtId="44" fontId="13" fillId="36" borderId="0" xfId="44" applyFont="1" applyFill="1" applyBorder="1" applyAlignment="1" applyProtection="1">
      <alignment horizontal="left" vertical="center" indent="1"/>
      <protection/>
    </xf>
    <xf numFmtId="42" fontId="13" fillId="36" borderId="0" xfId="44" applyNumberFormat="1" applyFont="1" applyFill="1" applyBorder="1" applyAlignment="1" applyProtection="1">
      <alignment horizontal="left" vertical="center" indent="1"/>
      <protection/>
    </xf>
    <xf numFmtId="41" fontId="47" fillId="0" borderId="0" xfId="0" applyNumberFormat="1" applyFont="1" applyFill="1" applyBorder="1" applyAlignment="1" applyProtection="1">
      <alignment horizontal="right" vertical="center"/>
      <protection/>
    </xf>
    <xf numFmtId="191" fontId="13" fillId="0" borderId="0" xfId="44" applyNumberFormat="1" applyFont="1" applyFill="1" applyBorder="1" applyAlignment="1" applyProtection="1">
      <alignment horizontal="left" vertical="center" indent="1"/>
      <protection/>
    </xf>
    <xf numFmtId="41" fontId="47" fillId="0" borderId="0" xfId="0" applyNumberFormat="1" applyFont="1" applyFill="1" applyBorder="1" applyAlignment="1" applyProtection="1">
      <alignment horizontal="left" vertical="center" indent="1"/>
      <protection/>
    </xf>
    <xf numFmtId="191" fontId="7" fillId="45" borderId="0" xfId="44" applyNumberFormat="1" applyFont="1" applyFill="1" applyBorder="1" applyAlignment="1" applyProtection="1">
      <alignment horizontal="right"/>
      <protection/>
    </xf>
    <xf numFmtId="191" fontId="13" fillId="39" borderId="0" xfId="44" applyNumberFormat="1" applyFont="1" applyFill="1" applyBorder="1" applyAlignment="1" applyProtection="1">
      <alignment horizontal="left" vertical="center" indent="1"/>
      <protection/>
    </xf>
    <xf numFmtId="37" fontId="13" fillId="45" borderId="24" xfId="0" applyNumberFormat="1" applyFont="1" applyFill="1" applyBorder="1" applyAlignment="1" applyProtection="1">
      <alignment vertical="center"/>
      <protection/>
    </xf>
    <xf numFmtId="37" fontId="14" fillId="45" borderId="26" xfId="0" applyNumberFormat="1" applyFont="1" applyFill="1" applyBorder="1" applyAlignment="1" applyProtection="1">
      <alignment/>
      <protection/>
    </xf>
    <xf numFmtId="37" fontId="14" fillId="45" borderId="19" xfId="0" applyNumberFormat="1" applyFont="1" applyFill="1" applyBorder="1" applyAlignment="1" applyProtection="1">
      <alignment/>
      <protection/>
    </xf>
    <xf numFmtId="37" fontId="13" fillId="45" borderId="30" xfId="0" applyNumberFormat="1" applyFont="1" applyFill="1" applyBorder="1" applyAlignment="1" applyProtection="1">
      <alignment horizontal="center" vertical="center"/>
      <protection/>
    </xf>
    <xf numFmtId="37" fontId="13" fillId="45" borderId="33" xfId="0" applyNumberFormat="1" applyFont="1" applyFill="1" applyBorder="1" applyAlignment="1" applyProtection="1">
      <alignment horizontal="center" vertical="center"/>
      <protection/>
    </xf>
    <xf numFmtId="191" fontId="13" fillId="45" borderId="24" xfId="44" applyNumberFormat="1" applyFont="1" applyFill="1" applyBorder="1" applyAlignment="1" applyProtection="1">
      <alignment horizontal="right" vertical="center" indent="1"/>
      <protection/>
    </xf>
    <xf numFmtId="166" fontId="51" fillId="45" borderId="0" xfId="63" applyNumberFormat="1" applyFont="1" applyFill="1" applyBorder="1" applyAlignment="1" applyProtection="1">
      <alignment horizontal="right" vertical="center" indent="1"/>
      <protection/>
    </xf>
    <xf numFmtId="41" fontId="17" fillId="37" borderId="0" xfId="0" applyNumberFormat="1" applyFont="1" applyFill="1" applyBorder="1" applyAlignment="1" applyProtection="1">
      <alignment/>
      <protection/>
    </xf>
    <xf numFmtId="41" fontId="47" fillId="45" borderId="0" xfId="0" applyNumberFormat="1" applyFont="1" applyFill="1" applyBorder="1" applyAlignment="1" applyProtection="1">
      <alignment horizontal="center" vertical="center"/>
      <protection/>
    </xf>
    <xf numFmtId="41" fontId="13" fillId="45" borderId="0" xfId="0" applyNumberFormat="1" applyFont="1" applyFill="1" applyBorder="1" applyAlignment="1" applyProtection="1">
      <alignment vertical="center"/>
      <protection/>
    </xf>
    <xf numFmtId="10" fontId="13" fillId="45" borderId="0" xfId="0" applyNumberFormat="1" applyFont="1" applyFill="1" applyBorder="1" applyAlignment="1" applyProtection="1">
      <alignment horizontal="center" vertical="center"/>
      <protection/>
    </xf>
    <xf numFmtId="168" fontId="13" fillId="45" borderId="0" xfId="42" applyNumberFormat="1" applyFont="1" applyFill="1" applyBorder="1" applyAlignment="1" applyProtection="1">
      <alignment horizontal="left" vertical="center" indent="1"/>
      <protection/>
    </xf>
    <xf numFmtId="168" fontId="13" fillId="39" borderId="0" xfId="42" applyNumberFormat="1" applyFont="1" applyFill="1" applyBorder="1" applyAlignment="1" applyProtection="1">
      <alignment horizontal="left" vertical="center" indent="1"/>
      <protection/>
    </xf>
    <xf numFmtId="168" fontId="20" fillId="36" borderId="0" xfId="42" applyNumberFormat="1" applyFont="1" applyFill="1" applyBorder="1" applyAlignment="1" applyProtection="1">
      <alignment horizontal="left" vertical="center" indent="1"/>
      <protection/>
    </xf>
    <xf numFmtId="10" fontId="13" fillId="39" borderId="0" xfId="0" applyNumberFormat="1" applyFont="1" applyFill="1" applyBorder="1" applyAlignment="1" applyProtection="1">
      <alignment horizontal="center" vertical="center"/>
      <protection/>
    </xf>
    <xf numFmtId="168" fontId="20" fillId="0" borderId="0" xfId="42" applyNumberFormat="1" applyFont="1" applyFill="1" applyBorder="1" applyAlignment="1" applyProtection="1">
      <alignment horizontal="left" vertical="center" indent="1"/>
      <protection/>
    </xf>
    <xf numFmtId="191" fontId="13" fillId="39" borderId="0" xfId="44" applyNumberFormat="1" applyFont="1" applyFill="1" applyBorder="1" applyAlignment="1" applyProtection="1">
      <alignment vertical="center"/>
      <protection/>
    </xf>
    <xf numFmtId="37" fontId="44" fillId="0" borderId="0" xfId="0" applyNumberFormat="1" applyFont="1" applyFill="1" applyBorder="1" applyAlignment="1" applyProtection="1">
      <alignment/>
      <protection/>
    </xf>
    <xf numFmtId="191" fontId="47" fillId="0" borderId="0" xfId="44" applyNumberFormat="1" applyFont="1" applyFill="1" applyBorder="1" applyAlignment="1" applyProtection="1">
      <alignment horizontal="left" vertical="center" indent="1"/>
      <protection/>
    </xf>
    <xf numFmtId="0" fontId="49" fillId="0" borderId="0" xfId="59" applyFont="1" applyBorder="1" quotePrefix="1">
      <alignment/>
      <protection/>
    </xf>
    <xf numFmtId="165" fontId="19" fillId="36" borderId="0" xfId="0" applyNumberFormat="1" applyFont="1" applyFill="1" applyBorder="1" applyAlignment="1" applyProtection="1">
      <alignment/>
      <protection/>
    </xf>
    <xf numFmtId="0" fontId="49" fillId="0" borderId="0" xfId="59" applyFont="1" applyBorder="1">
      <alignment/>
      <protection/>
    </xf>
    <xf numFmtId="37" fontId="13" fillId="45" borderId="0" xfId="0" applyNumberFormat="1" applyFont="1" applyFill="1" applyBorder="1" applyAlignment="1" applyProtection="1">
      <alignment horizontal="left"/>
      <protection/>
    </xf>
    <xf numFmtId="0" fontId="28" fillId="45" borderId="0" xfId="0" applyFont="1" applyFill="1" applyBorder="1" applyAlignment="1">
      <alignment horizontal="center"/>
    </xf>
    <xf numFmtId="37" fontId="13" fillId="39" borderId="0" xfId="0" applyNumberFormat="1" applyFont="1" applyFill="1" applyBorder="1" applyAlignment="1" applyProtection="1">
      <alignment horizontal="left"/>
      <protection/>
    </xf>
    <xf numFmtId="37" fontId="13" fillId="0" borderId="0" xfId="0" applyNumberFormat="1" applyFont="1" applyFill="1" applyBorder="1" applyAlignment="1" applyProtection="1">
      <alignment horizontal="left"/>
      <protection/>
    </xf>
    <xf numFmtId="191" fontId="13" fillId="0" borderId="0" xfId="44" applyNumberFormat="1" applyFont="1" applyFill="1" applyBorder="1" applyAlignment="1" applyProtection="1">
      <alignment horizontal="center" vertical="center"/>
      <protection/>
    </xf>
    <xf numFmtId="37" fontId="13" fillId="39" borderId="0" xfId="0" applyNumberFormat="1" applyFont="1" applyFill="1" applyBorder="1" applyAlignment="1" applyProtection="1">
      <alignment horizontal="center"/>
      <protection/>
    </xf>
    <xf numFmtId="37" fontId="13" fillId="0" borderId="0" xfId="0" applyNumberFormat="1" applyFont="1" applyFill="1" applyBorder="1" applyAlignment="1" applyProtection="1">
      <alignment horizontal="center"/>
      <protection/>
    </xf>
    <xf numFmtId="37" fontId="13" fillId="0" borderId="0" xfId="0" applyNumberFormat="1" applyFont="1" applyFill="1" applyBorder="1" applyAlignment="1" applyProtection="1">
      <alignment horizontal="left"/>
      <protection/>
    </xf>
    <xf numFmtId="41" fontId="47" fillId="0" borderId="0" xfId="0" applyNumberFormat="1" applyFont="1" applyFill="1" applyBorder="1" applyAlignment="1" applyProtection="1">
      <alignment horizontal="center" vertical="center"/>
      <protection/>
    </xf>
    <xf numFmtId="41" fontId="13" fillId="39" borderId="0" xfId="0" applyNumberFormat="1" applyFont="1" applyFill="1" applyBorder="1" applyAlignment="1" applyProtection="1">
      <alignment horizontal="center" vertical="center"/>
      <protection/>
    </xf>
    <xf numFmtId="3" fontId="13" fillId="39" borderId="0" xfId="0" applyNumberFormat="1" applyFont="1" applyFill="1" applyBorder="1" applyAlignment="1" applyProtection="1">
      <alignment horizontal="center" vertical="center"/>
      <protection/>
    </xf>
    <xf numFmtId="41" fontId="13" fillId="39" borderId="0" xfId="42" applyNumberFormat="1" applyFont="1" applyFill="1" applyBorder="1" applyAlignment="1" applyProtection="1">
      <alignment horizontal="center" vertical="center"/>
      <protection/>
    </xf>
    <xf numFmtId="3" fontId="13" fillId="39" borderId="0" xfId="42" applyNumberFormat="1"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39" fontId="13" fillId="39" borderId="0" xfId="0" applyNumberFormat="1" applyFont="1" applyFill="1" applyBorder="1" applyAlignment="1" applyProtection="1">
      <alignment horizontal="center" vertical="center"/>
      <protection/>
    </xf>
    <xf numFmtId="37" fontId="13" fillId="45" borderId="0" xfId="0" applyNumberFormat="1" applyFont="1" applyFill="1" applyBorder="1" applyAlignment="1" applyProtection="1">
      <alignment horizontal="center"/>
      <protection/>
    </xf>
    <xf numFmtId="166" fontId="13" fillId="45" borderId="0" xfId="63" applyNumberFormat="1" applyFont="1" applyFill="1" applyBorder="1" applyAlignment="1" applyProtection="1">
      <alignment horizontal="center" vertical="center"/>
      <protection/>
    </xf>
    <xf numFmtId="166" fontId="13" fillId="39" borderId="0" xfId="63" applyNumberFormat="1" applyFont="1" applyFill="1" applyBorder="1" applyAlignment="1" applyProtection="1">
      <alignment horizontal="center" vertical="center"/>
      <protection/>
    </xf>
    <xf numFmtId="0" fontId="30" fillId="36" borderId="0" xfId="0" applyFont="1" applyFill="1" applyBorder="1" applyAlignment="1">
      <alignment/>
    </xf>
    <xf numFmtId="0" fontId="13" fillId="0" borderId="0" xfId="59" applyFont="1" applyBorder="1">
      <alignment/>
      <protection/>
    </xf>
    <xf numFmtId="191" fontId="18" fillId="0" borderId="0" xfId="44" applyNumberFormat="1" applyFont="1" applyAlignment="1">
      <alignment/>
    </xf>
    <xf numFmtId="168" fontId="18" fillId="0" borderId="0" xfId="42" applyNumberFormat="1" applyFont="1" applyAlignment="1">
      <alignment/>
    </xf>
    <xf numFmtId="0" fontId="47" fillId="45" borderId="19" xfId="0" applyFont="1" applyFill="1" applyBorder="1" applyAlignment="1">
      <alignment horizontal="centerContinuous"/>
    </xf>
    <xf numFmtId="0" fontId="47" fillId="45" borderId="20" xfId="0" applyFont="1" applyFill="1" applyBorder="1" applyAlignment="1">
      <alignment horizontal="centerContinuous"/>
    </xf>
    <xf numFmtId="191" fontId="13" fillId="45" borderId="21" xfId="44" applyNumberFormat="1" applyFont="1" applyFill="1" applyBorder="1" applyAlignment="1" applyProtection="1">
      <alignment horizontal="right" vertical="center" indent="1"/>
      <protection/>
    </xf>
    <xf numFmtId="166" fontId="51" fillId="45" borderId="21" xfId="63" applyNumberFormat="1" applyFont="1" applyFill="1" applyBorder="1" applyAlignment="1" applyProtection="1">
      <alignment horizontal="right" vertical="center" indent="1"/>
      <protection/>
    </xf>
    <xf numFmtId="41" fontId="47" fillId="45" borderId="21" xfId="0" applyNumberFormat="1" applyFont="1" applyFill="1" applyBorder="1" applyAlignment="1" applyProtection="1">
      <alignment horizontal="right" vertical="center" indent="1"/>
      <protection/>
    </xf>
    <xf numFmtId="191" fontId="13" fillId="45" borderId="25" xfId="44" applyNumberFormat="1" applyFont="1" applyFill="1" applyBorder="1" applyAlignment="1" applyProtection="1">
      <alignment horizontal="right" vertical="center" indent="1"/>
      <protection/>
    </xf>
    <xf numFmtId="42" fontId="0" fillId="36" borderId="0" xfId="0" applyNumberFormat="1" applyFill="1" applyAlignment="1">
      <alignment/>
    </xf>
    <xf numFmtId="0" fontId="42" fillId="0" borderId="0" xfId="0" applyFont="1" applyAlignment="1">
      <alignment horizontal="left" wrapText="1"/>
    </xf>
    <xf numFmtId="0" fontId="39" fillId="43" borderId="0" xfId="0" applyFont="1" applyFill="1" applyAlignment="1">
      <alignment horizontal="left"/>
    </xf>
    <xf numFmtId="0" fontId="39" fillId="43" borderId="0" xfId="0" applyFont="1" applyFill="1" applyAlignment="1">
      <alignment horizontal="center"/>
    </xf>
    <xf numFmtId="0" fontId="43" fillId="0" borderId="0" xfId="0" applyFont="1" applyAlignment="1">
      <alignment horizontal="center"/>
    </xf>
    <xf numFmtId="37" fontId="13" fillId="0" borderId="39" xfId="0" applyNumberFormat="1" applyFont="1" applyFill="1" applyBorder="1" applyAlignment="1" applyProtection="1">
      <alignment horizontal="left" vertical="center"/>
      <protection/>
    </xf>
    <xf numFmtId="37" fontId="13" fillId="0" borderId="37" xfId="0" applyNumberFormat="1" applyFont="1" applyFill="1" applyBorder="1" applyAlignment="1" applyProtection="1">
      <alignment horizontal="left" vertical="center"/>
      <protection/>
    </xf>
    <xf numFmtId="37" fontId="13" fillId="0" borderId="38" xfId="0" applyNumberFormat="1" applyFont="1" applyFill="1" applyBorder="1" applyAlignment="1" applyProtection="1">
      <alignment horizontal="left" vertical="center"/>
      <protection/>
    </xf>
    <xf numFmtId="37" fontId="13" fillId="45" borderId="0" xfId="0" applyNumberFormat="1" applyFont="1" applyFill="1" applyBorder="1" applyAlignment="1" applyProtection="1">
      <alignment horizontal="left" vertical="center"/>
      <protection/>
    </xf>
    <xf numFmtId="37" fontId="13" fillId="39" borderId="0" xfId="0" applyNumberFormat="1" applyFont="1" applyFill="1" applyBorder="1" applyAlignment="1" applyProtection="1">
      <alignment horizontal="left" vertical="center"/>
      <protection/>
    </xf>
    <xf numFmtId="37" fontId="13" fillId="0" borderId="45" xfId="0" applyNumberFormat="1" applyFont="1" applyFill="1" applyBorder="1" applyAlignment="1" applyProtection="1">
      <alignment horizontal="left" vertical="center"/>
      <protection/>
    </xf>
    <xf numFmtId="37" fontId="13" fillId="0" borderId="46" xfId="0" applyNumberFormat="1" applyFont="1" applyFill="1" applyBorder="1" applyAlignment="1" applyProtection="1">
      <alignment horizontal="left" vertical="center"/>
      <protection/>
    </xf>
    <xf numFmtId="37" fontId="13" fillId="0" borderId="47" xfId="0" applyNumberFormat="1" applyFont="1" applyFill="1" applyBorder="1" applyAlignment="1" applyProtection="1">
      <alignment horizontal="left" vertical="center"/>
      <protection/>
    </xf>
    <xf numFmtId="37" fontId="13" fillId="0" borderId="48" xfId="0" applyNumberFormat="1" applyFont="1" applyFill="1" applyBorder="1" applyAlignment="1" applyProtection="1">
      <alignment horizontal="left" vertical="center"/>
      <protection/>
    </xf>
    <xf numFmtId="37" fontId="13" fillId="0" borderId="49" xfId="0" applyNumberFormat="1" applyFont="1" applyFill="1" applyBorder="1" applyAlignment="1" applyProtection="1">
      <alignment horizontal="left" vertical="center"/>
      <protection/>
    </xf>
    <xf numFmtId="37" fontId="13" fillId="0" borderId="50" xfId="0" applyNumberFormat="1" applyFont="1" applyFill="1" applyBorder="1" applyAlignment="1" applyProtection="1">
      <alignment horizontal="left" vertical="center"/>
      <protection/>
    </xf>
    <xf numFmtId="37" fontId="13" fillId="0" borderId="0" xfId="0" applyNumberFormat="1" applyFont="1" applyFill="1" applyBorder="1" applyAlignment="1" applyProtection="1">
      <alignment horizontal="left" vertical="center"/>
      <protection/>
    </xf>
    <xf numFmtId="37" fontId="34" fillId="39" borderId="0" xfId="0" applyNumberFormat="1" applyFont="1" applyFill="1" applyBorder="1" applyAlignment="1" applyProtection="1">
      <alignment horizontal="left" vertical="center" wrapText="1"/>
      <protection/>
    </xf>
    <xf numFmtId="37" fontId="35" fillId="36" borderId="0" xfId="0" applyNumberFormat="1" applyFont="1" applyFill="1" applyBorder="1" applyAlignment="1" applyProtection="1">
      <alignment horizontal="left" vertical="center" wrapText="1"/>
      <protection/>
    </xf>
    <xf numFmtId="0" fontId="10" fillId="35" borderId="29" xfId="68" applyFont="1" applyFill="1" applyBorder="1" applyAlignment="1">
      <alignment horizontal="center"/>
      <protection/>
    </xf>
    <xf numFmtId="0" fontId="10" fillId="35" borderId="0" xfId="68" applyFont="1" applyFill="1" applyBorder="1" applyAlignment="1">
      <alignment horizontal="left"/>
      <protection/>
    </xf>
    <xf numFmtId="0" fontId="10" fillId="35" borderId="36" xfId="68" applyFont="1" applyFill="1" applyBorder="1" applyAlignment="1" quotePrefix="1">
      <alignment horizontal="center"/>
      <protection/>
    </xf>
    <xf numFmtId="0" fontId="10" fillId="35" borderId="27" xfId="68" applyFont="1" applyFill="1" applyBorder="1" applyAlignment="1" quotePrefix="1">
      <alignment horizontal="center"/>
      <protection/>
    </xf>
    <xf numFmtId="0" fontId="38" fillId="36" borderId="12" xfId="0" applyFont="1" applyFill="1" applyBorder="1" applyAlignment="1">
      <alignment horizontal="center"/>
    </xf>
    <xf numFmtId="0" fontId="38" fillId="36" borderId="13" xfId="0" applyFont="1" applyFill="1" applyBorder="1" applyAlignment="1">
      <alignment horizontal="center"/>
    </xf>
    <xf numFmtId="37" fontId="27" fillId="0" borderId="0" xfId="0" applyNumberFormat="1" applyFont="1" applyAlignment="1">
      <alignment horizontal="center"/>
    </xf>
    <xf numFmtId="37" fontId="0" fillId="0" borderId="0" xfId="0" applyNumberFormat="1" applyFont="1" applyAlignment="1">
      <alignment horizontal="center"/>
    </xf>
    <xf numFmtId="37" fontId="2" fillId="37" borderId="0" xfId="0" applyNumberFormat="1" applyFont="1" applyFill="1" applyBorder="1" applyAlignment="1" applyProtection="1">
      <alignment horizontal="center"/>
      <protection/>
    </xf>
    <xf numFmtId="37" fontId="0" fillId="45" borderId="0" xfId="0" applyNumberFormat="1" applyFont="1" applyFill="1" applyAlignment="1">
      <alignment horizontal="center"/>
    </xf>
    <xf numFmtId="0" fontId="34" fillId="36" borderId="12" xfId="0" applyNumberFormat="1" applyFont="1" applyFill="1" applyBorder="1" applyAlignment="1" applyProtection="1">
      <alignment horizontal="left" vertical="center" wrapText="1"/>
      <protection/>
    </xf>
    <xf numFmtId="0" fontId="34" fillId="36" borderId="13" xfId="0" applyNumberFormat="1" applyFont="1" applyFill="1" applyBorder="1" applyAlignment="1" applyProtection="1">
      <alignment horizontal="left" vertical="center" wrapText="1"/>
      <protection/>
    </xf>
    <xf numFmtId="0" fontId="34" fillId="36" borderId="14" xfId="0" applyNumberFormat="1" applyFont="1" applyFill="1" applyBorder="1" applyAlignment="1" applyProtection="1">
      <alignment horizontal="left" vertical="center" wrapText="1"/>
      <protection/>
    </xf>
    <xf numFmtId="0" fontId="34" fillId="36" borderId="29" xfId="0" applyNumberFormat="1" applyFont="1" applyFill="1" applyBorder="1" applyAlignment="1" applyProtection="1">
      <alignment horizontal="left" vertical="center" wrapText="1"/>
      <protection/>
    </xf>
    <xf numFmtId="0" fontId="34" fillId="36" borderId="0" xfId="0" applyNumberFormat="1" applyFont="1" applyFill="1" applyBorder="1" applyAlignment="1" applyProtection="1">
      <alignment horizontal="left" vertical="center" wrapText="1"/>
      <protection/>
    </xf>
    <xf numFmtId="0" fontId="34" fillId="36" borderId="51" xfId="0" applyNumberFormat="1" applyFont="1" applyFill="1" applyBorder="1" applyAlignment="1" applyProtection="1">
      <alignment horizontal="left" vertical="center" wrapText="1"/>
      <protection/>
    </xf>
    <xf numFmtId="0" fontId="34" fillId="36" borderId="36" xfId="0" applyNumberFormat="1" applyFont="1" applyFill="1" applyBorder="1" applyAlignment="1" applyProtection="1">
      <alignment horizontal="left" vertical="center" wrapText="1"/>
      <protection/>
    </xf>
    <xf numFmtId="0" fontId="34" fillId="36" borderId="27" xfId="0" applyNumberFormat="1" applyFont="1" applyFill="1" applyBorder="1" applyAlignment="1" applyProtection="1">
      <alignment horizontal="left" vertical="center" wrapText="1"/>
      <protection/>
    </xf>
    <xf numFmtId="0" fontId="34" fillId="36" borderId="52" xfId="0" applyNumberFormat="1" applyFont="1" applyFill="1" applyBorder="1" applyAlignment="1" applyProtection="1">
      <alignment horizontal="left" vertical="center" wrapText="1"/>
      <protection/>
    </xf>
    <xf numFmtId="37" fontId="45" fillId="45" borderId="0" xfId="0" applyNumberFormat="1" applyFont="1" applyFill="1" applyAlignment="1">
      <alignment horizontal="center"/>
    </xf>
    <xf numFmtId="37" fontId="94" fillId="45" borderId="0" xfId="0" applyNumberFormat="1" applyFont="1" applyFill="1" applyAlignment="1">
      <alignment horizontal="center"/>
    </xf>
    <xf numFmtId="37" fontId="94" fillId="0" borderId="0" xfId="0" applyNumberFormat="1" applyFont="1" applyAlignment="1">
      <alignment horizontal="center"/>
    </xf>
    <xf numFmtId="37" fontId="34" fillId="36" borderId="12" xfId="0" applyNumberFormat="1" applyFont="1" applyFill="1" applyBorder="1" applyAlignment="1" applyProtection="1">
      <alignment horizontal="left" vertical="center" wrapText="1"/>
      <protection/>
    </xf>
    <xf numFmtId="37" fontId="34" fillId="36" borderId="13" xfId="0" applyNumberFormat="1" applyFont="1" applyFill="1" applyBorder="1" applyAlignment="1" applyProtection="1">
      <alignment horizontal="left" vertical="center" wrapText="1"/>
      <protection/>
    </xf>
    <xf numFmtId="37" fontId="34" fillId="36" borderId="14" xfId="0" applyNumberFormat="1" applyFont="1" applyFill="1" applyBorder="1" applyAlignment="1" applyProtection="1">
      <alignment horizontal="left" vertical="center" wrapText="1"/>
      <protection/>
    </xf>
    <xf numFmtId="37" fontId="34" fillId="36" borderId="29" xfId="0" applyNumberFormat="1" applyFont="1" applyFill="1" applyBorder="1" applyAlignment="1" applyProtection="1">
      <alignment horizontal="left" vertical="center" wrapText="1"/>
      <protection/>
    </xf>
    <xf numFmtId="37" fontId="34" fillId="36" borderId="0" xfId="0" applyNumberFormat="1" applyFont="1" applyFill="1" applyBorder="1" applyAlignment="1" applyProtection="1">
      <alignment horizontal="left" vertical="center" wrapText="1"/>
      <protection/>
    </xf>
    <xf numFmtId="37" fontId="34" fillId="36" borderId="51" xfId="0" applyNumberFormat="1" applyFont="1" applyFill="1" applyBorder="1" applyAlignment="1" applyProtection="1">
      <alignment horizontal="left" vertical="center" wrapText="1"/>
      <protection/>
    </xf>
    <xf numFmtId="37" fontId="34" fillId="36" borderId="36" xfId="0" applyNumberFormat="1" applyFont="1" applyFill="1" applyBorder="1" applyAlignment="1" applyProtection="1">
      <alignment horizontal="left" vertical="center" wrapText="1"/>
      <protection/>
    </xf>
    <xf numFmtId="37" fontId="34" fillId="36" borderId="27" xfId="0" applyNumberFormat="1" applyFont="1" applyFill="1" applyBorder="1" applyAlignment="1" applyProtection="1">
      <alignment horizontal="left" vertical="center" wrapText="1"/>
      <protection/>
    </xf>
    <xf numFmtId="37" fontId="34" fillId="36" borderId="52" xfId="0" applyNumberFormat="1" applyFont="1" applyFill="1" applyBorder="1" applyAlignment="1" applyProtection="1">
      <alignment horizontal="left" vertical="center" wrapText="1"/>
      <protection/>
    </xf>
    <xf numFmtId="41" fontId="22" fillId="43" borderId="53" xfId="0" applyNumberFormat="1" applyFont="1" applyFill="1" applyBorder="1" applyAlignment="1" applyProtection="1">
      <alignment horizontal="center" vertical="center"/>
      <protection/>
    </xf>
    <xf numFmtId="41" fontId="22" fillId="43" borderId="0" xfId="0" applyNumberFormat="1" applyFont="1" applyFill="1" applyBorder="1" applyAlignment="1" applyProtection="1">
      <alignment horizontal="center" vertical="center"/>
      <protection/>
    </xf>
    <xf numFmtId="0" fontId="37" fillId="36" borderId="54" xfId="0" applyFont="1" applyFill="1" applyBorder="1" applyAlignment="1">
      <alignment horizontal="center"/>
    </xf>
    <xf numFmtId="0" fontId="37" fillId="36" borderId="55" xfId="0" applyFont="1" applyFill="1" applyBorder="1" applyAlignment="1">
      <alignment horizontal="center"/>
    </xf>
    <xf numFmtId="0" fontId="10" fillId="35" borderId="0" xfId="68" applyFont="1" applyFill="1" applyBorder="1" applyAlignment="1">
      <alignment horizontal="center"/>
      <protection/>
    </xf>
    <xf numFmtId="37" fontId="13" fillId="45" borderId="0" xfId="0" applyNumberFormat="1" applyFont="1" applyFill="1" applyBorder="1" applyAlignment="1" applyProtection="1">
      <alignment horizontal="left" vertical="center" wrapText="1"/>
      <protection/>
    </xf>
    <xf numFmtId="0" fontId="37" fillId="36" borderId="54" xfId="0" applyFont="1" applyFill="1" applyBorder="1" applyAlignment="1">
      <alignment horizontal="center" wrapText="1"/>
    </xf>
    <xf numFmtId="0" fontId="37" fillId="36" borderId="55" xfId="0" applyFont="1" applyFill="1" applyBorder="1" applyAlignment="1">
      <alignment horizontal="center" wrapText="1"/>
    </xf>
    <xf numFmtId="37" fontId="94" fillId="45" borderId="0" xfId="0" applyNumberFormat="1" applyFont="1" applyFill="1" applyBorder="1" applyAlignment="1">
      <alignment horizontal="center"/>
    </xf>
    <xf numFmtId="0" fontId="47" fillId="45" borderId="0" xfId="0" applyFont="1" applyFill="1" applyBorder="1" applyAlignment="1">
      <alignment horizontal="center"/>
    </xf>
    <xf numFmtId="41" fontId="47" fillId="45" borderId="0" xfId="0" applyNumberFormat="1" applyFont="1" applyFill="1" applyBorder="1" applyAlignment="1" applyProtection="1">
      <alignment horizontal="center" vertical="center"/>
      <protection/>
    </xf>
    <xf numFmtId="37" fontId="45" fillId="45" borderId="0" xfId="0" applyNumberFormat="1" applyFont="1" applyFill="1" applyBorder="1" applyAlignment="1">
      <alignment horizontal="center"/>
    </xf>
    <xf numFmtId="37" fontId="94" fillId="0" borderId="0" xfId="0" applyNumberFormat="1" applyFont="1" applyBorder="1" applyAlignment="1">
      <alignment horizontal="center"/>
    </xf>
    <xf numFmtId="0" fontId="10" fillId="35" borderId="29" xfId="68" applyFont="1" applyFill="1" applyBorder="1" applyAlignment="1" quotePrefix="1">
      <alignment horizontal="center"/>
      <protection/>
    </xf>
    <xf numFmtId="0" fontId="10" fillId="35" borderId="0" xfId="68" applyFont="1" applyFill="1" applyBorder="1" applyAlignment="1" quotePrefix="1">
      <alignment horizontal="center"/>
      <protection/>
    </xf>
    <xf numFmtId="0" fontId="36" fillId="36" borderId="29" xfId="0" applyFont="1" applyFill="1" applyBorder="1" applyAlignment="1">
      <alignment horizontal="center"/>
    </xf>
    <xf numFmtId="0" fontId="36" fillId="36" borderId="0" xfId="0" applyFont="1" applyFill="1" applyBorder="1" applyAlignment="1">
      <alignment horizontal="center"/>
    </xf>
    <xf numFmtId="0" fontId="10" fillId="35" borderId="0" xfId="68" applyFont="1" applyFill="1" applyBorder="1" applyAlignment="1">
      <alignment horizontal="center" wrapText="1"/>
      <protection/>
    </xf>
    <xf numFmtId="0" fontId="18" fillId="36" borderId="0" xfId="0" applyFont="1" applyFill="1" applyBorder="1" applyAlignment="1">
      <alignment horizontal="center"/>
    </xf>
    <xf numFmtId="0" fontId="16" fillId="36" borderId="0" xfId="0" applyFont="1" applyFill="1" applyBorder="1" applyAlignment="1">
      <alignment horizontal="center"/>
    </xf>
    <xf numFmtId="0" fontId="13" fillId="0" borderId="0" xfId="59" applyFont="1" applyAlignment="1">
      <alignment horizontal="left" vertical="center" wrapText="1"/>
      <protection/>
    </xf>
    <xf numFmtId="0" fontId="3" fillId="45" borderId="0" xfId="0" applyFont="1" applyFill="1" applyBorder="1" applyAlignment="1">
      <alignment horizontal="left" vertical="center" wrapText="1"/>
    </xf>
    <xf numFmtId="0" fontId="3" fillId="45" borderId="0" xfId="0" applyFont="1" applyFill="1" applyBorder="1" applyAlignment="1">
      <alignment vertical="center" wrapText="1"/>
    </xf>
    <xf numFmtId="37" fontId="13" fillId="0" borderId="0" xfId="0" applyNumberFormat="1" applyFont="1" applyFill="1" applyBorder="1" applyAlignment="1" applyProtection="1">
      <alignment horizontal="left" vertical="center" wrapText="1"/>
      <protection/>
    </xf>
    <xf numFmtId="0" fontId="16" fillId="36" borderId="0" xfId="60" applyFont="1" applyFill="1" applyBorder="1" applyAlignment="1">
      <alignment horizontal="center"/>
      <protection/>
    </xf>
    <xf numFmtId="0" fontId="13" fillId="0" borderId="0" xfId="59" applyFont="1" applyBorder="1" applyAlignment="1">
      <alignment horizontal="left" vertical="center" wrapText="1"/>
      <protection/>
    </xf>
    <xf numFmtId="37" fontId="13" fillId="39" borderId="0" xfId="0" applyNumberFormat="1" applyFont="1" applyFill="1" applyBorder="1" applyAlignment="1" applyProtection="1">
      <alignment horizontal="left" vertical="center" wrapText="1"/>
      <protection/>
    </xf>
    <xf numFmtId="0" fontId="13" fillId="0" borderId="0" xfId="59" applyFont="1" applyBorder="1" applyAlignment="1">
      <alignment horizontal="left" wrapText="1"/>
      <protection/>
    </xf>
    <xf numFmtId="0" fontId="13" fillId="0" borderId="0" xfId="59" applyFont="1" applyBorder="1" applyAlignment="1">
      <alignment vertical="center" wrapText="1"/>
      <protection/>
    </xf>
    <xf numFmtId="0" fontId="36" fillId="36" borderId="36" xfId="0" applyFont="1" applyFill="1" applyBorder="1" applyAlignment="1">
      <alignment horizontal="center"/>
    </xf>
    <xf numFmtId="0" fontId="36" fillId="36" borderId="27" xfId="0" applyFont="1" applyFill="1" applyBorder="1" applyAlignment="1">
      <alignment horizontal="center"/>
    </xf>
    <xf numFmtId="0" fontId="13" fillId="0" borderId="0" xfId="59" applyFont="1" applyAlignment="1">
      <alignment wrapText="1"/>
      <protection/>
    </xf>
    <xf numFmtId="0" fontId="13" fillId="0" borderId="0" xfId="59" applyFont="1" applyAlignment="1">
      <alignment horizontal="left" wrapText="1"/>
      <protection/>
    </xf>
    <xf numFmtId="37" fontId="70" fillId="45" borderId="0" xfId="0" applyNumberFormat="1" applyFont="1" applyFill="1" applyAlignment="1">
      <alignment horizontal="center"/>
    </xf>
    <xf numFmtId="37" fontId="95" fillId="45" borderId="0" xfId="0" applyNumberFormat="1" applyFont="1" applyFill="1" applyAlignment="1">
      <alignment horizontal="center"/>
    </xf>
    <xf numFmtId="37" fontId="95" fillId="45" borderId="0" xfId="0" applyNumberFormat="1" applyFont="1" applyFill="1" applyAlignment="1">
      <alignment horizontal="center"/>
    </xf>
    <xf numFmtId="0" fontId="96" fillId="45" borderId="0" xfId="0" applyFont="1" applyFill="1" applyAlignment="1">
      <alignment/>
    </xf>
    <xf numFmtId="0" fontId="73" fillId="45" borderId="0" xfId="0" applyFont="1" applyFill="1" applyBorder="1" applyAlignment="1">
      <alignment horizontal="center"/>
    </xf>
    <xf numFmtId="0" fontId="73" fillId="45" borderId="0" xfId="0" applyFont="1" applyFill="1" applyBorder="1" applyAlignment="1">
      <alignment horizontal="centerContinuous"/>
    </xf>
    <xf numFmtId="0" fontId="96" fillId="45" borderId="0" xfId="0" applyFont="1" applyFill="1" applyAlignment="1">
      <alignment horizontal="center"/>
    </xf>
    <xf numFmtId="0" fontId="97" fillId="45" borderId="0" xfId="0" applyFont="1" applyFill="1" applyAlignment="1">
      <alignment/>
    </xf>
    <xf numFmtId="0" fontId="96" fillId="45" borderId="0" xfId="0" applyFont="1" applyFill="1" applyAlignment="1">
      <alignment horizontal="left" indent="2"/>
    </xf>
    <xf numFmtId="191" fontId="96" fillId="45" borderId="0" xfId="44" applyNumberFormat="1" applyFont="1" applyFill="1" applyAlignment="1">
      <alignment/>
    </xf>
    <xf numFmtId="37" fontId="96" fillId="45" borderId="0" xfId="0" applyNumberFormat="1" applyFont="1" applyFill="1" applyAlignment="1">
      <alignment/>
    </xf>
    <xf numFmtId="37" fontId="20" fillId="0" borderId="0" xfId="0" applyNumberFormat="1" applyFont="1" applyFill="1" applyBorder="1" applyAlignment="1" applyProtection="1">
      <alignment horizontal="left" vertical="center"/>
      <protection/>
    </xf>
    <xf numFmtId="43" fontId="96" fillId="45" borderId="0" xfId="42" applyFont="1" applyFill="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15"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4" xfId="55"/>
    <cellStyle name="Input" xfId="56"/>
    <cellStyle name="Linked Cell" xfId="57"/>
    <cellStyle name="Neutral" xfId="58"/>
    <cellStyle name="Normal 2" xfId="59"/>
    <cellStyle name="Normal 6" xfId="60"/>
    <cellStyle name="Note" xfId="61"/>
    <cellStyle name="Output" xfId="62"/>
    <cellStyle name="Percent" xfId="63"/>
    <cellStyle name="Percent 100" xfId="64"/>
    <cellStyle name="Range Header 10" xfId="65"/>
    <cellStyle name="Range Header 2" xfId="66"/>
    <cellStyle name="Title" xfId="67"/>
    <cellStyle name="Titles"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d\AppData\Local\Temp\about:blank"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KM%20Testimony%20%20Model.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29e39f5313cc976b/key%2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29e39f5313cc976b/Exeter1/3709-PWD%202021/Discovery/PA-ADV/Outstanding%20DS%20Adv%20Discovery%201%20-%20Q1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chedule%206%20back%20u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FC_Model_Pro"/>
      <sheetName val="Home"/>
      <sheetName val="O&amp;M (R)"/>
      <sheetName val="Inputs"/>
      <sheetName val="CIP (R)"/>
      <sheetName val="Rev"/>
      <sheetName val="O&amp;M"/>
      <sheetName val="CIP"/>
      <sheetName val="Debt"/>
      <sheetName val="Cashflow"/>
      <sheetName val="Dashboard"/>
      <sheetName val="COS"/>
      <sheetName val="Rates"/>
      <sheetName val="Summary"/>
      <sheetName val="Report"/>
      <sheetName val="UsageFreq"/>
      <sheetName val="launch values"/>
      <sheetName val="About"/>
      <sheetName val="Cash Flow"/>
      <sheetName val="Capital Program"/>
      <sheetName val="Affordability"/>
      <sheetName val="Output"/>
      <sheetName val="Assumption #s"/>
      <sheetName val="Assumptions Tables"/>
      <sheetName val="ML-5"/>
      <sheetName val="Model User Input"/>
      <sheetName val="Customer"/>
      <sheetName val="Bill Tab"/>
      <sheetName val="Bill Impacts"/>
      <sheetName val="Combined Dashboard"/>
      <sheetName val="Water Dashboard"/>
      <sheetName val="Wastewater Dashboard"/>
      <sheetName val="Other Revenue"/>
      <sheetName val="Index"/>
      <sheetName val="Direct O&amp;M"/>
      <sheetName val="Other Dept O&amp;M"/>
      <sheetName val="O&amp;M Adjustments"/>
      <sheetName val="DS"/>
      <sheetName val="Capital Projects"/>
      <sheetName val="TY Rate CF Data"/>
      <sheetName val="Finplan CF Data"/>
      <sheetName val="Funds"/>
      <sheetName val="PFM_Stormwater"/>
      <sheetName val="BV_E1_C_Tables"/>
      <sheetName val="BV_E1_C_Comparison"/>
      <sheetName val="BV_E1_C_Comparison 2"/>
      <sheetName val="BV_E1_W_Tables"/>
      <sheetName val="BV_E1_WW_Tables"/>
      <sheetName val="BVE3_Testimony Tables"/>
      <sheetName val="Rate Board Model OM Tables"/>
      <sheetName val="Rate Study Tables"/>
      <sheetName val="Rate Study Tables DETAIL"/>
      <sheetName val="Report Tables"/>
      <sheetName val="Report Tables (2)"/>
      <sheetName val="Report Tables Original"/>
      <sheetName val="BVE3_Report Tables"/>
      <sheetName val="Council Request"/>
      <sheetName val="Bond Report Tables"/>
      <sheetName val="Bond Report Tables (2)"/>
      <sheetName val="Capital Projects - Scen 1"/>
      <sheetName val="Capital Projects - Scen 2"/>
      <sheetName val="Capital Projects - Scen 3"/>
      <sheetName val="Capital Projects - Scen 4"/>
      <sheetName val="Capital Projects - Scen 5"/>
      <sheetName val="Cost of Service"/>
      <sheetName val="Dashboard Data"/>
      <sheetName val="Dashboard Storage"/>
      <sheetName val="Link"/>
      <sheetName val="Issues Log"/>
      <sheetName val="Graphs"/>
      <sheetName val="Chart1"/>
      <sheetName val="Actual to Budget Charts"/>
      <sheetName val="Assumptions"/>
      <sheetName val="O&amp;M Allocations"/>
      <sheetName val="CF Data"/>
      <sheetName val="Rate Study Tables (2)"/>
      <sheetName val="COS Tables"/>
      <sheetName val="Rate Board Tbls"/>
      <sheetName val="EPA"/>
      <sheetName val="Cash Flow Results"/>
      <sheetName val="Cash Flow Results (OLD)"/>
      <sheetName val="L4 Model User Inputs"/>
      <sheetName val="L4 Output-Graphics"/>
      <sheetName val="Exec Summary"/>
      <sheetName val="Tutorial"/>
      <sheetName val="Chart4"/>
    </sheetNames>
    <sheetDataSet>
      <sheetData sheetId="1">
        <row r="4">
          <cell r="A4">
            <v>2017</v>
          </cell>
        </row>
        <row r="5">
          <cell r="A5">
            <v>2019</v>
          </cell>
        </row>
      </sheetData>
      <sheetData sheetId="10">
        <row r="14">
          <cell r="G14">
            <v>5</v>
          </cell>
        </row>
        <row r="18">
          <cell r="D18">
            <v>130</v>
          </cell>
        </row>
        <row r="21">
          <cell r="D21">
            <v>0</v>
          </cell>
        </row>
        <row r="24">
          <cell r="D24">
            <v>0</v>
          </cell>
        </row>
        <row r="35">
          <cell r="D35">
            <v>7.9</v>
          </cell>
        </row>
        <row r="57">
          <cell r="D57">
            <v>0</v>
          </cell>
        </row>
        <row r="61">
          <cell r="D61">
            <v>14.7</v>
          </cell>
        </row>
        <row r="114">
          <cell r="BA114" t="str">
            <v>Water System</v>
          </cell>
        </row>
        <row r="115">
          <cell r="BA115" t="str">
            <v>Wastewater System</v>
          </cell>
        </row>
        <row r="116">
          <cell r="BA116" t="str">
            <v>Combined System</v>
          </cell>
        </row>
      </sheetData>
      <sheetData sheetId="22">
        <row r="13">
          <cell r="C13">
            <v>2017</v>
          </cell>
          <cell r="D13">
            <v>2018</v>
          </cell>
          <cell r="E13">
            <v>2019</v>
          </cell>
          <cell r="F13">
            <v>2020</v>
          </cell>
          <cell r="G13">
            <v>2021</v>
          </cell>
          <cell r="H13">
            <v>2022</v>
          </cell>
          <cell r="I13">
            <v>2023</v>
          </cell>
          <cell r="J13">
            <v>2024</v>
          </cell>
          <cell r="K13">
            <v>2025</v>
          </cell>
          <cell r="L13">
            <v>2026</v>
          </cell>
          <cell r="M13">
            <v>2027</v>
          </cell>
          <cell r="N13">
            <v>2028</v>
          </cell>
          <cell r="O13">
            <v>2029</v>
          </cell>
          <cell r="P13">
            <v>2030</v>
          </cell>
          <cell r="Q13">
            <v>2031</v>
          </cell>
          <cell r="R13">
            <v>2032</v>
          </cell>
        </row>
        <row r="14">
          <cell r="C14">
            <v>3</v>
          </cell>
          <cell r="D14">
            <v>4</v>
          </cell>
          <cell r="E14">
            <v>5</v>
          </cell>
          <cell r="F14">
            <v>6</v>
          </cell>
          <cell r="G14">
            <v>7</v>
          </cell>
          <cell r="H14">
            <v>8</v>
          </cell>
          <cell r="I14">
            <v>9</v>
          </cell>
          <cell r="J14">
            <v>10</v>
          </cell>
          <cell r="K14">
            <v>11</v>
          </cell>
          <cell r="L14">
            <v>12</v>
          </cell>
          <cell r="M14">
            <v>13</v>
          </cell>
          <cell r="N14">
            <v>14</v>
          </cell>
          <cell r="O14">
            <v>15</v>
          </cell>
          <cell r="P14">
            <v>16</v>
          </cell>
          <cell r="Q14">
            <v>17</v>
          </cell>
          <cell r="R14">
            <v>18</v>
          </cell>
        </row>
        <row r="15">
          <cell r="A15" t="str">
            <v>Account - Small Decrease</v>
          </cell>
          <cell r="B15" t="str">
            <v>Account - Small Decrease</v>
          </cell>
          <cell r="C15">
            <v>-0.023657886390715088</v>
          </cell>
          <cell r="D15">
            <v>-0.024231144043616037</v>
          </cell>
          <cell r="E15">
            <v>-0.024832872965458885</v>
          </cell>
          <cell r="F15">
            <v>-0.025465248240037597</v>
          </cell>
          <cell r="G15">
            <v>-0.026130672296753588</v>
          </cell>
          <cell r="H15">
            <v>-0.026831805411080767</v>
          </cell>
          <cell r="I15">
            <v>0</v>
          </cell>
          <cell r="J15">
            <v>0</v>
          </cell>
          <cell r="K15">
            <v>0</v>
          </cell>
          <cell r="L15">
            <v>0</v>
          </cell>
          <cell r="M15">
            <v>0</v>
          </cell>
          <cell r="N15">
            <v>0</v>
          </cell>
          <cell r="O15">
            <v>0</v>
          </cell>
          <cell r="P15">
            <v>0</v>
          </cell>
          <cell r="Q15">
            <v>0</v>
          </cell>
          <cell r="R15">
            <v>0</v>
          </cell>
          <cell r="S15">
            <v>0</v>
          </cell>
        </row>
        <row r="16">
          <cell r="A16" t="str">
            <v>Account - Small Growth</v>
          </cell>
          <cell r="B16" t="str">
            <v>Account - Small Growth</v>
          </cell>
          <cell r="C16">
            <v>0.0005055694149553869</v>
          </cell>
          <cell r="D16">
            <v>0.0005053139436805854</v>
          </cell>
          <cell r="E16">
            <v>0.0005050587304615828</v>
          </cell>
          <cell r="F16">
            <v>0.0005048037749080247</v>
          </cell>
          <cell r="G16">
            <v>0.0005045490766295568</v>
          </cell>
          <cell r="H16">
            <v>0.0005042946352369349</v>
          </cell>
          <cell r="I16">
            <v>0</v>
          </cell>
          <cell r="J16">
            <v>0</v>
          </cell>
          <cell r="K16">
            <v>0</v>
          </cell>
          <cell r="L16">
            <v>0</v>
          </cell>
          <cell r="M16">
            <v>0</v>
          </cell>
          <cell r="N16">
            <v>0</v>
          </cell>
          <cell r="O16">
            <v>0</v>
          </cell>
          <cell r="P16">
            <v>0</v>
          </cell>
          <cell r="Q16">
            <v>0</v>
          </cell>
          <cell r="R16">
            <v>0</v>
          </cell>
          <cell r="S16">
            <v>0</v>
          </cell>
        </row>
        <row r="17">
          <cell r="A17" t="str">
            <v>Account - Med Growth</v>
          </cell>
          <cell r="B17" t="str">
            <v>Account - Med Growth</v>
          </cell>
          <cell r="C17">
            <v>0.02</v>
          </cell>
          <cell r="D17">
            <v>0.02</v>
          </cell>
          <cell r="E17">
            <v>0.02</v>
          </cell>
          <cell r="F17">
            <v>0.02</v>
          </cell>
          <cell r="G17">
            <v>0.02</v>
          </cell>
          <cell r="H17">
            <v>0.02</v>
          </cell>
          <cell r="I17">
            <v>0.02</v>
          </cell>
          <cell r="J17">
            <v>0.02</v>
          </cell>
          <cell r="K17">
            <v>0.02</v>
          </cell>
          <cell r="L17">
            <v>0.02</v>
          </cell>
          <cell r="M17">
            <v>0.02</v>
          </cell>
          <cell r="N17">
            <v>0.02</v>
          </cell>
          <cell r="O17">
            <v>0.02</v>
          </cell>
          <cell r="P17">
            <v>0.02</v>
          </cell>
          <cell r="Q17">
            <v>0.02</v>
          </cell>
          <cell r="R17">
            <v>0.02</v>
          </cell>
          <cell r="S17">
            <v>0.02</v>
          </cell>
        </row>
        <row r="18">
          <cell r="A18" t="str">
            <v>Account - Large Growth</v>
          </cell>
          <cell r="B18" t="str">
            <v>Account - Large Growth</v>
          </cell>
          <cell r="C18">
            <v>0.05</v>
          </cell>
          <cell r="D18">
            <v>0.05</v>
          </cell>
          <cell r="E18">
            <v>0.05</v>
          </cell>
          <cell r="F18">
            <v>0.05</v>
          </cell>
          <cell r="G18">
            <v>0.05</v>
          </cell>
          <cell r="H18">
            <v>0.05</v>
          </cell>
          <cell r="I18">
            <v>0.05</v>
          </cell>
          <cell r="J18">
            <v>0.05</v>
          </cell>
          <cell r="K18">
            <v>0.05</v>
          </cell>
          <cell r="L18">
            <v>0.05</v>
          </cell>
          <cell r="M18">
            <v>0.05</v>
          </cell>
          <cell r="N18">
            <v>0.05</v>
          </cell>
          <cell r="O18">
            <v>0.05</v>
          </cell>
          <cell r="P18">
            <v>0.05</v>
          </cell>
          <cell r="Q18">
            <v>0.05</v>
          </cell>
          <cell r="R18">
            <v>0.05</v>
          </cell>
          <cell r="S18">
            <v>0.05</v>
          </cell>
        </row>
        <row r="19">
          <cell r="A19" t="str">
            <v>Account - No Growth</v>
          </cell>
          <cell r="B19" t="str">
            <v>Account - No Growth</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row>
        <row r="25">
          <cell r="A25" t="str">
            <v>Volume - Small Decrease (SC)</v>
          </cell>
          <cell r="B25" t="str">
            <v>Volume - Small Decrease (SC)</v>
          </cell>
          <cell r="C25">
            <v>-0.0175</v>
          </cell>
          <cell r="D25">
            <v>-0.0175</v>
          </cell>
          <cell r="E25">
            <v>-0.0175</v>
          </cell>
          <cell r="F25">
            <v>-0.0175</v>
          </cell>
          <cell r="G25">
            <v>-0.0175</v>
          </cell>
          <cell r="H25">
            <v>-0.0175</v>
          </cell>
          <cell r="I25">
            <v>-0.0175</v>
          </cell>
          <cell r="J25">
            <v>-0.0175</v>
          </cell>
          <cell r="K25">
            <v>-0.0175</v>
          </cell>
          <cell r="L25">
            <v>-0.0175</v>
          </cell>
          <cell r="M25">
            <v>-0.0175</v>
          </cell>
          <cell r="N25">
            <v>-0.0175</v>
          </cell>
          <cell r="O25">
            <v>-0.0175</v>
          </cell>
          <cell r="P25">
            <v>-0.0175</v>
          </cell>
          <cell r="Q25">
            <v>-0.0175</v>
          </cell>
          <cell r="R25">
            <v>-0.0175</v>
          </cell>
        </row>
        <row r="26">
          <cell r="A26" t="str">
            <v>Volume - Small Decrease</v>
          </cell>
          <cell r="B26" t="str">
            <v>Volume - Small Decrease</v>
          </cell>
          <cell r="C26">
            <v>-0.0175</v>
          </cell>
          <cell r="D26">
            <v>-0.0175</v>
          </cell>
          <cell r="E26">
            <v>-0.0175</v>
          </cell>
          <cell r="F26">
            <v>-0.0175</v>
          </cell>
          <cell r="G26">
            <v>-0.0175</v>
          </cell>
          <cell r="H26">
            <v>-0.0175</v>
          </cell>
          <cell r="I26">
            <v>-0.0175</v>
          </cell>
          <cell r="J26">
            <v>-0.0175</v>
          </cell>
          <cell r="K26">
            <v>-0.0175</v>
          </cell>
          <cell r="L26">
            <v>-0.0175</v>
          </cell>
          <cell r="M26">
            <v>-0.0175</v>
          </cell>
          <cell r="N26">
            <v>-0.0175</v>
          </cell>
          <cell r="O26">
            <v>-0.0175</v>
          </cell>
          <cell r="P26">
            <v>-0.0175</v>
          </cell>
          <cell r="Q26">
            <v>-0.0175</v>
          </cell>
          <cell r="R26">
            <v>-0.0175</v>
          </cell>
        </row>
        <row r="27">
          <cell r="A27" t="str">
            <v>Volume - Small Decrease with Adjustment</v>
          </cell>
          <cell r="B27" t="str">
            <v>Volume - Small Decrease with Adjustment</v>
          </cell>
          <cell r="C27">
            <v>-0.0175</v>
          </cell>
          <cell r="D27">
            <v>-0.0175</v>
          </cell>
          <cell r="E27">
            <v>-0.0175</v>
          </cell>
          <cell r="F27">
            <v>-0.0175</v>
          </cell>
          <cell r="G27">
            <v>-0.0175</v>
          </cell>
          <cell r="H27">
            <v>-0.0175</v>
          </cell>
          <cell r="I27">
            <v>-0.0175</v>
          </cell>
          <cell r="J27">
            <v>-0.0175</v>
          </cell>
          <cell r="K27">
            <v>-0.0175</v>
          </cell>
          <cell r="L27">
            <v>-0.0175</v>
          </cell>
          <cell r="M27">
            <v>-0.0175</v>
          </cell>
          <cell r="N27">
            <v>-0.0175</v>
          </cell>
          <cell r="O27">
            <v>-0.0175</v>
          </cell>
          <cell r="P27">
            <v>-0.0175</v>
          </cell>
          <cell r="Q27">
            <v>-0.0175</v>
          </cell>
          <cell r="R27">
            <v>-0.0175</v>
          </cell>
        </row>
        <row r="28">
          <cell r="A28" t="str">
            <v>Volume - Small Growth</v>
          </cell>
          <cell r="B28" t="str">
            <v>Volume - PHA</v>
          </cell>
          <cell r="C28">
            <v>0.01</v>
          </cell>
          <cell r="D28">
            <v>0.01</v>
          </cell>
          <cell r="E28">
            <v>0.01</v>
          </cell>
          <cell r="F28">
            <v>0.01</v>
          </cell>
          <cell r="G28">
            <v>0.01</v>
          </cell>
          <cell r="H28">
            <v>0.01</v>
          </cell>
          <cell r="I28">
            <v>0.01</v>
          </cell>
          <cell r="J28">
            <v>0.01</v>
          </cell>
          <cell r="K28">
            <v>0.01</v>
          </cell>
          <cell r="L28">
            <v>0.01</v>
          </cell>
          <cell r="M28">
            <v>0.01</v>
          </cell>
          <cell r="N28">
            <v>0.01</v>
          </cell>
          <cell r="O28">
            <v>0.01</v>
          </cell>
          <cell r="P28">
            <v>0.01</v>
          </cell>
          <cell r="Q28">
            <v>0.01</v>
          </cell>
          <cell r="R28">
            <v>0.01</v>
          </cell>
        </row>
        <row r="29">
          <cell r="A29" t="str">
            <v>Volume - Med Growth</v>
          </cell>
          <cell r="B29" t="str">
            <v>Volume - Charities/Schools</v>
          </cell>
          <cell r="C29">
            <v>0.02</v>
          </cell>
          <cell r="D29">
            <v>0.02</v>
          </cell>
          <cell r="E29">
            <v>0.02</v>
          </cell>
          <cell r="F29">
            <v>0.02</v>
          </cell>
          <cell r="G29">
            <v>0.02</v>
          </cell>
          <cell r="H29">
            <v>0.02</v>
          </cell>
          <cell r="I29">
            <v>0.02</v>
          </cell>
          <cell r="J29">
            <v>0.02</v>
          </cell>
          <cell r="K29">
            <v>0.02</v>
          </cell>
          <cell r="L29">
            <v>0.02</v>
          </cell>
          <cell r="M29">
            <v>0.02</v>
          </cell>
          <cell r="N29">
            <v>0.02</v>
          </cell>
          <cell r="O29">
            <v>0.02</v>
          </cell>
          <cell r="P29">
            <v>0.02</v>
          </cell>
          <cell r="Q29">
            <v>0.02</v>
          </cell>
          <cell r="R29">
            <v>0.02</v>
          </cell>
        </row>
        <row r="30">
          <cell r="A30" t="str">
            <v>Volume - No Growth</v>
          </cell>
          <cell r="B30" t="str">
            <v>Volume - Hospital/Universities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Volume - No Growth with Adjustment</v>
          </cell>
          <cell r="B31" t="str">
            <v>Volume - Hand Billed</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t="str">
            <v>Volume - Fire Service</v>
          </cell>
          <cell r="C32">
            <v>0</v>
          </cell>
          <cell r="D32">
            <v>0.112</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485">
          <cell r="A485" t="str">
            <v>Constant </v>
          </cell>
        </row>
        <row r="486">
          <cell r="A486" t="str">
            <v>Labor</v>
          </cell>
        </row>
        <row r="487">
          <cell r="A487" t="str">
            <v>Other Benefits</v>
          </cell>
        </row>
        <row r="488">
          <cell r="A488" t="str">
            <v>Pension</v>
          </cell>
        </row>
        <row r="489">
          <cell r="A489" t="str">
            <v>Pension Obligations</v>
          </cell>
        </row>
        <row r="490">
          <cell r="A490" t="str">
            <v>General</v>
          </cell>
        </row>
        <row r="491">
          <cell r="A491" t="str">
            <v>Property Leases</v>
          </cell>
        </row>
        <row r="492">
          <cell r="A492" t="str">
            <v>Other 200</v>
          </cell>
        </row>
        <row r="493">
          <cell r="A493" t="str">
            <v>Other 300</v>
          </cell>
        </row>
        <row r="494">
          <cell r="A494" t="str">
            <v>Other 400</v>
          </cell>
        </row>
        <row r="495">
          <cell r="A495" t="str">
            <v>Energy</v>
          </cell>
        </row>
        <row r="496">
          <cell r="A496" t="str">
            <v>Gas</v>
          </cell>
        </row>
        <row r="497">
          <cell r="A497" t="str">
            <v>Chemicals</v>
          </cell>
        </row>
        <row r="498">
          <cell r="A498" t="str">
            <v>Transfers</v>
          </cell>
        </row>
        <row r="503">
          <cell r="A503">
            <v>0</v>
          </cell>
        </row>
        <row r="504">
          <cell r="A504">
            <v>1</v>
          </cell>
        </row>
        <row r="505">
          <cell r="A505">
            <v>2</v>
          </cell>
        </row>
        <row r="506">
          <cell r="A506">
            <v>3</v>
          </cell>
        </row>
        <row r="507">
          <cell r="A507">
            <v>4</v>
          </cell>
        </row>
        <row r="508">
          <cell r="A508">
            <v>5</v>
          </cell>
        </row>
        <row r="524">
          <cell r="A524" t="str">
            <v>Small Residential</v>
          </cell>
        </row>
        <row r="525">
          <cell r="A525" t="str">
            <v>Large Residential</v>
          </cell>
        </row>
        <row r="526">
          <cell r="A526" t="str">
            <v>Commercial</v>
          </cell>
        </row>
        <row r="527">
          <cell r="A527" t="str">
            <v>Industrial</v>
          </cell>
        </row>
        <row r="528">
          <cell r="A528" t="str">
            <v>Other 1</v>
          </cell>
        </row>
        <row r="529">
          <cell r="A529" t="str">
            <v>Other 2</v>
          </cell>
        </row>
        <row r="548">
          <cell r="A548" t="str">
            <v>5/8"</v>
          </cell>
        </row>
        <row r="549">
          <cell r="A549" t="str">
            <v>3/4"</v>
          </cell>
        </row>
        <row r="550">
          <cell r="A550" t="str">
            <v>1"</v>
          </cell>
        </row>
        <row r="551">
          <cell r="A551" t="str">
            <v>1 1/4"</v>
          </cell>
        </row>
        <row r="552">
          <cell r="A552" t="str">
            <v>1 1/2"</v>
          </cell>
        </row>
        <row r="553">
          <cell r="A553" t="str">
            <v>2"</v>
          </cell>
        </row>
        <row r="554">
          <cell r="A554" t="str">
            <v>3"</v>
          </cell>
        </row>
        <row r="555">
          <cell r="A555" t="str">
            <v>4"</v>
          </cell>
        </row>
        <row r="556">
          <cell r="A556" t="str">
            <v>6"</v>
          </cell>
        </row>
        <row r="557">
          <cell r="A557" t="str">
            <v>8"</v>
          </cell>
        </row>
        <row r="558">
          <cell r="A558" t="str">
            <v>10"</v>
          </cell>
        </row>
        <row r="559">
          <cell r="A559" t="str">
            <v>12"</v>
          </cell>
        </row>
        <row r="1496">
          <cell r="A1496" t="str">
            <v>Low</v>
          </cell>
          <cell r="B1496">
            <v>0</v>
          </cell>
        </row>
        <row r="1497">
          <cell r="A1497" t="str">
            <v>Medium</v>
          </cell>
          <cell r="B1497">
            <v>0.025</v>
          </cell>
        </row>
        <row r="1498">
          <cell r="A1498" t="str">
            <v>High</v>
          </cell>
          <cell r="B1498">
            <v>0.025</v>
          </cell>
        </row>
      </sheetData>
      <sheetData sheetId="34">
        <row r="15">
          <cell r="AG15" t="str">
            <v>Water Utility</v>
          </cell>
        </row>
        <row r="16">
          <cell r="AG16" t="str">
            <v>Wastewater Utility</v>
          </cell>
        </row>
        <row r="17">
          <cell r="AG17" t="str">
            <v>Combined Utility</v>
          </cell>
        </row>
        <row r="522">
          <cell r="K522">
            <v>0.8473485518487991</v>
          </cell>
        </row>
      </sheetData>
      <sheetData sheetId="36">
        <row r="11">
          <cell r="A11" t="b">
            <v>1</v>
          </cell>
        </row>
        <row r="12">
          <cell r="A12" t="b">
            <v>1</v>
          </cell>
        </row>
        <row r="13">
          <cell r="A13" t="b">
            <v>1</v>
          </cell>
        </row>
        <row r="14">
          <cell r="A14" t="b">
            <v>1</v>
          </cell>
        </row>
        <row r="15">
          <cell r="A15" t="b">
            <v>1</v>
          </cell>
        </row>
        <row r="16">
          <cell r="A16" t="b">
            <v>1</v>
          </cell>
        </row>
        <row r="17">
          <cell r="A17" t="b">
            <v>1</v>
          </cell>
        </row>
        <row r="18">
          <cell r="A18" t="b">
            <v>1</v>
          </cell>
        </row>
        <row r="19">
          <cell r="A19" t="b">
            <v>1</v>
          </cell>
        </row>
        <row r="20">
          <cell r="A20" t="b">
            <v>1</v>
          </cell>
        </row>
        <row r="21">
          <cell r="A21" t="b">
            <v>1</v>
          </cell>
        </row>
      </sheetData>
      <sheetData sheetId="38">
        <row r="12">
          <cell r="Y12">
            <v>1</v>
          </cell>
        </row>
        <row r="13">
          <cell r="Y13">
            <v>2</v>
          </cell>
        </row>
        <row r="14">
          <cell r="Y14">
            <v>3</v>
          </cell>
        </row>
        <row r="15">
          <cell r="Y15">
            <v>4</v>
          </cell>
        </row>
        <row r="16">
          <cell r="Y16">
            <v>5</v>
          </cell>
        </row>
      </sheetData>
      <sheetData sheetId="41">
        <row r="348">
          <cell r="B348" t="str">
            <v>Construction Fund</v>
          </cell>
        </row>
        <row r="349">
          <cell r="B349" t="str">
            <v>Rate Stabilization</v>
          </cell>
        </row>
        <row r="350">
          <cell r="B350" t="str">
            <v>Debt Service Reserve</v>
          </cell>
        </row>
        <row r="351">
          <cell r="B351" t="str">
            <v>Residual Fund</v>
          </cell>
        </row>
        <row r="352">
          <cell r="B352" t="str">
            <v>Rate Stabilization and Residual (120 Days)</v>
          </cell>
        </row>
      </sheetData>
      <sheetData sheetId="65">
        <row r="309">
          <cell r="K309">
            <v>2</v>
          </cell>
        </row>
      </sheetData>
      <sheetData sheetId="66">
        <row r="680">
          <cell r="B680" t="str">
            <v>Scenario 1  - Exclude AMI</v>
          </cell>
        </row>
      </sheetData>
      <sheetData sheetId="74">
        <row r="314">
          <cell r="A314">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me"/>
      <sheetName val="Cash Flow"/>
      <sheetName val="Revenue Requirements"/>
      <sheetName val="Capital Program"/>
      <sheetName val="Combined Dashboard"/>
      <sheetName val="Water Dashboard"/>
      <sheetName val="Wastewater Dashboard"/>
      <sheetName val="Assumption #s"/>
      <sheetName val="Customer"/>
      <sheetName val="Bill Tab"/>
      <sheetName val="Other Revenue"/>
      <sheetName val="Direct O&amp;M"/>
      <sheetName val="Other Dept O&amp;M"/>
      <sheetName val="O&amp;M Adjustments"/>
      <sheetName val="DS"/>
      <sheetName val="Capital Projects"/>
      <sheetName val="TY Rate CF Data"/>
      <sheetName val="Finplan CF Data"/>
      <sheetName val="Funds"/>
      <sheetName val="Cost of Service"/>
      <sheetName val="Link"/>
      <sheetName val="BV_E1_C_Tables"/>
      <sheetName val="BV_E1_W_Tables"/>
      <sheetName val="BV_E1_WW_Tables"/>
      <sheetName val="BVE3_Testimony Tables"/>
      <sheetName val="Assumptions Tables"/>
      <sheetName val="Capital Projects - Scen 1"/>
      <sheetName val="Capital Projects - Scen 2"/>
      <sheetName val="Capital Projects - Scen 3"/>
      <sheetName val="Capital Projects - Scen 4"/>
      <sheetName val="Capital Projects - Scen 5"/>
      <sheetName val="Dashboard Data"/>
      <sheetName val="Dashboard Storage"/>
      <sheetName val="ML-5"/>
    </sheetNames>
    <sheetDataSet>
      <sheetData sheetId="8">
        <row r="2712">
          <cell r="I2712">
            <v>268634.40486909216</v>
          </cell>
          <cell r="J2712">
            <v>269874.77103586064</v>
          </cell>
          <cell r="K2712">
            <v>270773.60717194784</v>
          </cell>
        </row>
        <row r="2715">
          <cell r="J2715">
            <v>176835.06882249724</v>
          </cell>
          <cell r="K2715">
            <v>175988.7072231747</v>
          </cell>
        </row>
        <row r="2718">
          <cell r="I2718">
            <v>176436.28220849912</v>
          </cell>
        </row>
      </sheetData>
      <sheetData sheetId="21">
        <row r="31">
          <cell r="I31">
            <v>281601.4368667892</v>
          </cell>
          <cell r="J31">
            <v>283150.3569492321</v>
          </cell>
          <cell r="K31">
            <v>284253.22598518484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Sheet3"/>
      <sheetName val="Sheet1"/>
    </sheetNames>
    <sheetDataSet>
      <sheetData sheetId="1">
        <row r="89">
          <cell r="G89">
            <v>156614.87246665955</v>
          </cell>
          <cell r="H89">
            <v>162094.80091048154</v>
          </cell>
          <cell r="I89">
            <v>167368.37481315955</v>
          </cell>
        </row>
        <row r="90">
          <cell r="G90">
            <v>62047.8</v>
          </cell>
          <cell r="H90">
            <v>65358.83433211344</v>
          </cell>
          <cell r="I90">
            <v>68141.66144041628</v>
          </cell>
        </row>
        <row r="91">
          <cell r="G91">
            <v>72465.647346</v>
          </cell>
          <cell r="H91">
            <v>74067.39700499999</v>
          </cell>
          <cell r="I91">
            <v>76645.374265</v>
          </cell>
        </row>
        <row r="92">
          <cell r="G92">
            <v>14426.738268385145</v>
          </cell>
          <cell r="H92">
            <v>14488.811414664156</v>
          </cell>
          <cell r="I92">
            <v>14517.569468442773</v>
          </cell>
        </row>
        <row r="93">
          <cell r="G93">
            <v>0</v>
          </cell>
          <cell r="H93">
            <v>0</v>
          </cell>
          <cell r="I93">
            <v>0</v>
          </cell>
        </row>
        <row r="94">
          <cell r="G94">
            <v>0</v>
          </cell>
          <cell r="H94">
            <v>0</v>
          </cell>
          <cell r="I94">
            <v>0</v>
          </cell>
        </row>
        <row r="95">
          <cell r="G95">
            <v>0</v>
          </cell>
          <cell r="H95">
            <v>0</v>
          </cell>
          <cell r="I95">
            <v>0</v>
          </cell>
        </row>
        <row r="96">
          <cell r="G96">
            <v>147944.15600254966</v>
          </cell>
          <cell r="H96">
            <v>140997.49870271372</v>
          </cell>
          <cell r="I96">
            <v>142407.47368974084</v>
          </cell>
        </row>
        <row r="97">
          <cell r="G97">
            <v>15509.296790206341</v>
          </cell>
          <cell r="H97">
            <v>15509.296790206341</v>
          </cell>
          <cell r="I97">
            <v>15586.84327415737</v>
          </cell>
        </row>
        <row r="98">
          <cell r="G98">
            <v>4362.576693001988</v>
          </cell>
          <cell r="H98">
            <v>4428.015343397017</v>
          </cell>
          <cell r="I98">
            <v>4494.435573547972</v>
          </cell>
        </row>
        <row r="99">
          <cell r="G99">
            <v>15000</v>
          </cell>
        </row>
        <row r="100">
          <cell r="G100">
            <v>4368.565</v>
          </cell>
          <cell r="H100">
            <v>4447.19917</v>
          </cell>
          <cell r="I100">
            <v>4527.24875506</v>
          </cell>
        </row>
        <row r="101">
          <cell r="G101">
            <v>25217.863657256166</v>
          </cell>
          <cell r="H101">
            <v>25545.69588480049</v>
          </cell>
          <cell r="I101">
            <v>25877.789931302897</v>
          </cell>
        </row>
        <row r="102">
          <cell r="G102">
            <v>25551.387168101253</v>
          </cell>
          <cell r="H102">
            <v>26190.171847303784</v>
          </cell>
          <cell r="I102">
            <v>26844.926143486377</v>
          </cell>
        </row>
        <row r="103">
          <cell r="G103">
            <v>2621.171696810969</v>
          </cell>
          <cell r="H103">
            <v>4288.647113017237</v>
          </cell>
          <cell r="I103">
            <v>4368.900528248675</v>
          </cell>
        </row>
        <row r="104">
          <cell r="G104">
            <v>4388.787203065134</v>
          </cell>
          <cell r="H104">
            <v>4388.787203065134</v>
          </cell>
          <cell r="I104">
            <v>4388.787203065134</v>
          </cell>
        </row>
        <row r="105">
          <cell r="G105">
            <v>7198.317454545455</v>
          </cell>
          <cell r="H105">
            <v>7198.317454545455</v>
          </cell>
          <cell r="I105">
            <v>7198.317454545455</v>
          </cell>
        </row>
        <row r="106">
          <cell r="G106">
            <v>-33063.884</v>
          </cell>
          <cell r="H106">
            <v>-32022.539</v>
          </cell>
          <cell r="I106">
            <v>-32411.962</v>
          </cell>
        </row>
      </sheetData>
      <sheetData sheetId="2">
        <row r="10">
          <cell r="F10">
            <v>-18008.8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42">
          <cell r="BG42">
            <v>0.03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0">
          <cell r="E20">
            <v>3224.580677705235</v>
          </cell>
          <cell r="F20">
            <v>4956.083472926286</v>
          </cell>
        </row>
        <row r="39">
          <cell r="E39">
            <v>5592.660112281563</v>
          </cell>
          <cell r="F39">
            <v>9447.802776774974</v>
          </cell>
        </row>
        <row r="61">
          <cell r="E61">
            <v>7105.358207635349</v>
          </cell>
          <cell r="F61">
            <v>7248.852494310471</v>
          </cell>
        </row>
        <row r="82">
          <cell r="E82">
            <v>26902.785890609957</v>
          </cell>
          <cell r="F82">
            <v>13344.113999601104</v>
          </cell>
        </row>
        <row r="102">
          <cell r="E102">
            <v>8.425123299937695</v>
          </cell>
          <cell r="F102">
            <v>8.42512330005411</v>
          </cell>
        </row>
        <row r="107">
          <cell r="E107">
            <v>2094.068053652416</v>
          </cell>
          <cell r="F107">
            <v>2752.583194350591</v>
          </cell>
        </row>
        <row r="115">
          <cell r="E115">
            <v>612.0223778735381</v>
          </cell>
          <cell r="F115">
            <v>676.3163269455545</v>
          </cell>
        </row>
        <row r="120">
          <cell r="F120">
            <v>12718.402500694967</v>
          </cell>
        </row>
        <row r="125">
          <cell r="E125">
            <v>-1032.61865935059</v>
          </cell>
          <cell r="F125">
            <v>-1047.0753205814976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1"/>
  </sheetPr>
  <dimension ref="A1:O4"/>
  <sheetViews>
    <sheetView zoomScalePageLayoutView="0" workbookViewId="0" topLeftCell="A1">
      <selection activeCell="I6" sqref="I6"/>
    </sheetView>
  </sheetViews>
  <sheetFormatPr defaultColWidth="9.00390625" defaultRowHeight="15.75"/>
  <cols>
    <col min="7" max="7" width="10.25390625" style="0" customWidth="1"/>
    <col min="11" max="11" width="5.125" style="0" customWidth="1"/>
  </cols>
  <sheetData>
    <row r="1" spans="1:13" ht="21">
      <c r="A1" s="382" t="s">
        <v>410</v>
      </c>
      <c r="B1" s="382"/>
      <c r="C1" s="382"/>
      <c r="D1" s="382"/>
      <c r="E1" s="382"/>
      <c r="F1" s="382"/>
      <c r="G1" s="382"/>
      <c r="H1" s="382"/>
      <c r="I1" s="382"/>
      <c r="J1" s="382"/>
      <c r="K1" s="382"/>
      <c r="L1" s="382"/>
      <c r="M1" s="382"/>
    </row>
    <row r="2" spans="1:15" ht="198" customHeight="1">
      <c r="A2" s="379" t="s">
        <v>397</v>
      </c>
      <c r="B2" s="379"/>
      <c r="C2" s="379"/>
      <c r="D2" s="379"/>
      <c r="E2" s="379"/>
      <c r="F2" s="379"/>
      <c r="G2" s="379"/>
      <c r="H2" s="379"/>
      <c r="I2" s="379"/>
      <c r="J2" s="379"/>
      <c r="K2" s="379"/>
      <c r="L2" s="379"/>
      <c r="M2" s="379"/>
      <c r="N2" s="116"/>
      <c r="O2" s="116"/>
    </row>
    <row r="4" spans="3:13" ht="18">
      <c r="C4" s="129" t="s">
        <v>409</v>
      </c>
      <c r="D4" s="381" t="s">
        <v>406</v>
      </c>
      <c r="E4" s="381"/>
      <c r="F4" s="381"/>
      <c r="G4" s="381"/>
      <c r="H4" s="130" t="s">
        <v>407</v>
      </c>
      <c r="L4" s="380" t="s">
        <v>408</v>
      </c>
      <c r="M4" s="380"/>
    </row>
  </sheetData>
  <sheetProtection/>
  <mergeCells count="4">
    <mergeCell ref="A2:M2"/>
    <mergeCell ref="L4:M4"/>
    <mergeCell ref="D4:G4"/>
    <mergeCell ref="A1:M1"/>
  </mergeCells>
  <printOptions/>
  <pageMargins left="0.25" right="0.2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1"/>
  </sheetPr>
  <dimension ref="B1:U192"/>
  <sheetViews>
    <sheetView showGridLines="0" view="pageBreakPreview" zoomScale="120" zoomScaleNormal="140" zoomScaleSheetLayoutView="120" workbookViewId="0" topLeftCell="A74">
      <selection activeCell="C127" sqref="C127:G127"/>
    </sheetView>
  </sheetViews>
  <sheetFormatPr defaultColWidth="9.00390625" defaultRowHeight="15.75"/>
  <cols>
    <col min="1" max="1" width="2.125" style="3" customWidth="1"/>
    <col min="2" max="2" width="6.875" style="3" customWidth="1"/>
    <col min="3" max="3" width="8.75390625" style="3" customWidth="1"/>
    <col min="4" max="4" width="9.625" style="3" customWidth="1"/>
    <col min="5" max="5" width="6.375" style="3" customWidth="1"/>
    <col min="6" max="6" width="2.25390625" style="3" customWidth="1"/>
    <col min="7" max="7" width="3.25390625" style="3" customWidth="1"/>
    <col min="8" max="8" width="12.125" style="3" customWidth="1"/>
    <col min="9" max="9" width="12.625" style="3" customWidth="1"/>
    <col min="10" max="10" width="13.25390625" style="3" customWidth="1"/>
    <col min="11" max="13" width="12.125" style="3" hidden="1" customWidth="1"/>
    <col min="14" max="15" width="1.25" style="3" hidden="1" customWidth="1"/>
    <col min="16" max="16" width="25.375" style="3" hidden="1" customWidth="1"/>
    <col min="17" max="17" width="13.625" style="3" customWidth="1"/>
    <col min="18" max="18" width="7.625" style="3" customWidth="1"/>
    <col min="19" max="19" width="10.625" style="3" bestFit="1" customWidth="1"/>
    <col min="20" max="16384" width="9.00390625" style="3" customWidth="1"/>
  </cols>
  <sheetData>
    <row r="1" spans="3:10" ht="15">
      <c r="C1"/>
      <c r="D1"/>
      <c r="E1" s="134"/>
      <c r="F1"/>
      <c r="J1" s="135"/>
    </row>
    <row r="2" spans="3:10" ht="15">
      <c r="C2"/>
      <c r="D2"/>
      <c r="E2" s="134"/>
      <c r="F2" s="134"/>
      <c r="J2"/>
    </row>
    <row r="3" spans="2:10" ht="15">
      <c r="B3" s="403" t="s">
        <v>422</v>
      </c>
      <c r="C3" s="403"/>
      <c r="D3" s="403"/>
      <c r="E3" s="403"/>
      <c r="F3" s="403"/>
      <c r="G3" s="403"/>
      <c r="H3" s="403"/>
      <c r="I3" s="403"/>
      <c r="J3" s="403"/>
    </row>
    <row r="4" spans="2:10" ht="15">
      <c r="B4" s="404" t="s">
        <v>423</v>
      </c>
      <c r="C4" s="404"/>
      <c r="D4" s="404"/>
      <c r="E4" s="404"/>
      <c r="F4" s="404"/>
      <c r="G4" s="404"/>
      <c r="H4" s="404"/>
      <c r="I4" s="404"/>
      <c r="J4" s="404"/>
    </row>
    <row r="5" spans="2:10" ht="15">
      <c r="B5" s="404" t="s">
        <v>424</v>
      </c>
      <c r="C5" s="404"/>
      <c r="D5" s="404"/>
      <c r="E5" s="404"/>
      <c r="F5" s="404"/>
      <c r="G5" s="404"/>
      <c r="H5" s="404"/>
      <c r="I5" s="404"/>
      <c r="J5" s="404"/>
    </row>
    <row r="6" spans="2:10" ht="15">
      <c r="B6" s="406" t="s">
        <v>433</v>
      </c>
      <c r="C6" s="406"/>
      <c r="D6" s="406"/>
      <c r="E6" s="406"/>
      <c r="F6" s="406"/>
      <c r="G6" s="406"/>
      <c r="H6" s="406"/>
      <c r="I6" s="406"/>
      <c r="J6" s="406"/>
    </row>
    <row r="7" spans="2:16" ht="17.25" hidden="1">
      <c r="B7" s="397" t="s">
        <v>134</v>
      </c>
      <c r="C7" s="398"/>
      <c r="D7" s="398"/>
      <c r="E7" s="398"/>
      <c r="F7" s="398"/>
      <c r="G7" s="398"/>
      <c r="H7" s="398"/>
      <c r="I7" s="398"/>
      <c r="J7" s="398"/>
      <c r="K7" s="398"/>
      <c r="L7" s="398"/>
      <c r="M7" s="398"/>
      <c r="N7" s="398"/>
      <c r="O7" s="398"/>
      <c r="P7" s="398"/>
    </row>
    <row r="8" spans="2:16" ht="17.25" hidden="1">
      <c r="B8" s="399" t="s">
        <v>5</v>
      </c>
      <c r="C8" s="400"/>
      <c r="D8" s="400"/>
      <c r="E8" s="400"/>
      <c r="F8" s="400"/>
      <c r="G8" s="400"/>
      <c r="H8" s="400"/>
      <c r="I8" s="400"/>
      <c r="J8" s="400"/>
      <c r="K8" s="400"/>
      <c r="L8" s="400"/>
      <c r="M8" s="400"/>
      <c r="N8" s="400"/>
      <c r="O8" s="400"/>
      <c r="P8" s="400"/>
    </row>
    <row r="9" spans="2:16" s="118" customFormat="1" ht="18.75" customHeight="1" hidden="1">
      <c r="B9" s="401" t="s">
        <v>405</v>
      </c>
      <c r="C9" s="402"/>
      <c r="D9" s="402"/>
      <c r="E9" s="402"/>
      <c r="F9" s="402"/>
      <c r="G9" s="402"/>
      <c r="H9" s="402"/>
      <c r="I9" s="402"/>
      <c r="J9" s="402"/>
      <c r="K9" s="402"/>
      <c r="L9" s="402"/>
      <c r="M9" s="402"/>
      <c r="N9" s="402"/>
      <c r="O9" s="402"/>
      <c r="P9" s="402"/>
    </row>
    <row r="10" spans="2:16" ht="3" customHeight="1">
      <c r="B10" s="173"/>
      <c r="C10" s="174"/>
      <c r="D10" s="174"/>
      <c r="E10" s="174"/>
      <c r="F10" s="175"/>
      <c r="G10" s="176"/>
      <c r="H10" s="176"/>
      <c r="I10" s="177"/>
      <c r="J10" s="177"/>
      <c r="K10" s="75"/>
      <c r="L10" s="75"/>
      <c r="M10" s="75"/>
      <c r="N10" s="75"/>
      <c r="O10" s="69"/>
      <c r="P10" s="69"/>
    </row>
    <row r="11" spans="2:16" ht="17.25">
      <c r="B11" s="183" t="s">
        <v>244</v>
      </c>
      <c r="C11" s="184" t="s">
        <v>0</v>
      </c>
      <c r="D11" s="184"/>
      <c r="E11" s="184"/>
      <c r="F11" s="184"/>
      <c r="G11" s="184"/>
      <c r="H11" s="184" t="s">
        <v>427</v>
      </c>
      <c r="I11" s="184" t="s">
        <v>426</v>
      </c>
      <c r="J11" s="184" t="s">
        <v>425</v>
      </c>
      <c r="K11" s="178">
        <v>2024</v>
      </c>
      <c r="L11" s="178">
        <v>2025</v>
      </c>
      <c r="M11" s="24">
        <v>2026</v>
      </c>
      <c r="N11" s="24">
        <v>2025</v>
      </c>
      <c r="O11" s="69"/>
      <c r="P11" s="136" t="s">
        <v>208</v>
      </c>
    </row>
    <row r="12" spans="2:16" ht="7.5" customHeight="1">
      <c r="B12" s="70"/>
      <c r="C12" s="25"/>
      <c r="D12" s="25"/>
      <c r="E12" s="25"/>
      <c r="F12" s="15"/>
      <c r="G12" s="26"/>
      <c r="H12" s="26"/>
      <c r="I12" s="15"/>
      <c r="J12" s="15"/>
      <c r="K12" s="15"/>
      <c r="L12" s="15"/>
      <c r="M12" s="15"/>
      <c r="N12" s="15"/>
      <c r="O12" s="26"/>
      <c r="P12" s="26"/>
    </row>
    <row r="13" spans="2:18" ht="15.75" customHeight="1">
      <c r="B13" s="7"/>
      <c r="C13" s="7" t="s">
        <v>7</v>
      </c>
      <c r="D13" s="7"/>
      <c r="E13" s="7"/>
      <c r="F13" s="7"/>
      <c r="G13" s="7"/>
      <c r="H13" s="7"/>
      <c r="I13" s="7"/>
      <c r="J13" s="7"/>
      <c r="K13" s="7"/>
      <c r="L13" s="7"/>
      <c r="M13" s="7"/>
      <c r="N13" s="7"/>
      <c r="O13" s="7"/>
      <c r="P13" s="7"/>
      <c r="Q13" s="26"/>
      <c r="R13" s="26"/>
    </row>
    <row r="14" spans="2:17" ht="15.75" customHeight="1" hidden="1">
      <c r="B14" s="137">
        <v>1</v>
      </c>
      <c r="C14" s="387" t="s">
        <v>8</v>
      </c>
      <c r="D14" s="387"/>
      <c r="E14" s="387"/>
      <c r="F14" s="387"/>
      <c r="G14" s="387"/>
      <c r="H14" s="133">
        <f>'C-3 Receipts Existing Rates'!H14</f>
        <v>253071.04027718204</v>
      </c>
      <c r="I14" s="133">
        <f>'C-3 Receipts Existing Rates'!I14</f>
        <v>263593.07539268833</v>
      </c>
      <c r="J14" s="133">
        <f>'C-3 Receipts Existing Rates'!J14</f>
        <v>266743.379051085</v>
      </c>
      <c r="K14" s="133">
        <f>'C-3 Receipts Existing Rates'!K14</f>
        <v>269713.13270983926</v>
      </c>
      <c r="L14" s="133">
        <f>'C-3 Receipts Existing Rates'!L14</f>
        <v>267430.1428332407</v>
      </c>
      <c r="M14" s="133">
        <f>'C-3 Receipts Existing Rates'!M14</f>
        <v>265150.6490574604</v>
      </c>
      <c r="N14" s="133">
        <f>'C-3 Receipts Existing Rates'!M14</f>
        <v>265150.6490574604</v>
      </c>
      <c r="O14" s="139"/>
      <c r="P14" s="112" t="s">
        <v>394</v>
      </c>
      <c r="Q14"/>
    </row>
    <row r="15" spans="2:17" ht="15.75" customHeight="1">
      <c r="B15" s="143" t="s">
        <v>135</v>
      </c>
      <c r="C15" s="386" t="s">
        <v>8</v>
      </c>
      <c r="D15" s="386"/>
      <c r="E15" s="386"/>
      <c r="F15" s="386"/>
      <c r="G15" s="386"/>
      <c r="H15" s="185">
        <f>'C-3 Receipts Existing Rates'!H15</f>
        <v>281601.4368667892</v>
      </c>
      <c r="I15" s="185">
        <f>'C-3 Receipts Existing Rates'!I15</f>
        <v>283150.3569492321</v>
      </c>
      <c r="J15" s="185">
        <f>'C-3 Receipts Existing Rates'!J15</f>
        <v>284253.22598518484</v>
      </c>
      <c r="K15" s="96">
        <f>'C-3 Receipts Existing Rates'!K15</f>
        <v>269713.13270983926</v>
      </c>
      <c r="L15" s="96">
        <f>'C-3 Receipts Existing Rates'!L15</f>
        <v>267430.1428332407</v>
      </c>
      <c r="M15" s="96">
        <f>'C-3 Receipts Existing Rates'!M15</f>
        <v>265150.6490574604</v>
      </c>
      <c r="N15" s="96">
        <f>'C-3 Receipts Existing Rates'!M15</f>
        <v>265150.6490574604</v>
      </c>
      <c r="O15" s="26"/>
      <c r="P15" s="140" t="s">
        <v>394</v>
      </c>
      <c r="Q15"/>
    </row>
    <row r="16" spans="2:17" ht="14.25" customHeight="1" hidden="1">
      <c r="B16" s="137">
        <v>2</v>
      </c>
      <c r="C16" s="387" t="s">
        <v>9</v>
      </c>
      <c r="D16" s="387"/>
      <c r="E16" s="387"/>
      <c r="F16" s="387"/>
      <c r="G16" s="387"/>
      <c r="H16" s="133">
        <f>'C-3 Receipts Existing Rates'!H22</f>
        <v>406728.79000000004</v>
      </c>
      <c r="I16" s="133">
        <f>'C-3 Receipts Existing Rates'!I22</f>
        <v>423433.31</v>
      </c>
      <c r="J16" s="133">
        <f>'C-3 Receipts Existing Rates'!J22</f>
        <v>429266.89</v>
      </c>
      <c r="K16" s="133">
        <f>'C-3 Receipts Existing Rates'!K22</f>
        <v>434769.64</v>
      </c>
      <c r="L16" s="133">
        <f>'C-3 Receipts Existing Rates'!L22</f>
        <v>432094.62</v>
      </c>
      <c r="M16" s="133">
        <f>'C-3 Receipts Existing Rates'!M22</f>
        <v>429433.77</v>
      </c>
      <c r="N16" s="133">
        <f>'C-3 Receipts Existing Rates'!M22</f>
        <v>429433.77</v>
      </c>
      <c r="O16" s="139"/>
      <c r="P16" s="112" t="s">
        <v>394</v>
      </c>
      <c r="Q16"/>
    </row>
    <row r="17" spans="2:17" ht="15.75" customHeight="1">
      <c r="B17" s="181" t="s">
        <v>136</v>
      </c>
      <c r="C17" s="394" t="s">
        <v>9</v>
      </c>
      <c r="D17" s="394"/>
      <c r="E17" s="394"/>
      <c r="F17" s="394"/>
      <c r="G17" s="394"/>
      <c r="H17" s="186">
        <f>'C-3 Receipts Existing Rates'!H23</f>
        <v>445070.6870775913</v>
      </c>
      <c r="I17" s="186">
        <f>'C-3 Receipts Existing Rates'!I23</f>
        <v>446709.8398583579</v>
      </c>
      <c r="J17" s="186">
        <f>'C-3 Receipts Existing Rates'!J23</f>
        <v>446762.3143951225</v>
      </c>
      <c r="K17" s="36">
        <f>'C-3 Receipts Existing Rates'!K23</f>
        <v>434769.6397712171</v>
      </c>
      <c r="L17" s="36">
        <f>'C-3 Receipts Existing Rates'!L23</f>
        <v>432094.61931955407</v>
      </c>
      <c r="M17" s="36">
        <f>'C-3 Receipts Existing Rates'!M23</f>
        <v>429433.76948878175</v>
      </c>
      <c r="N17" s="36">
        <f>'C-3 Receipts Existing Rates'!M23</f>
        <v>429433.76948878175</v>
      </c>
      <c r="O17" s="26"/>
      <c r="P17" s="140" t="s">
        <v>394</v>
      </c>
      <c r="Q17"/>
    </row>
    <row r="18" spans="2:17" ht="2.25" customHeight="1">
      <c r="B18" s="179"/>
      <c r="C18" s="179"/>
      <c r="D18" s="179"/>
      <c r="E18" s="179"/>
      <c r="F18" s="179"/>
      <c r="G18" s="179"/>
      <c r="H18" s="180"/>
      <c r="I18" s="180"/>
      <c r="J18" s="180"/>
      <c r="K18" s="9"/>
      <c r="L18" s="9"/>
      <c r="M18" s="9"/>
      <c r="N18" s="9"/>
      <c r="O18" s="26"/>
      <c r="P18" s="26"/>
      <c r="Q18"/>
    </row>
    <row r="19" spans="2:17" ht="15.75" customHeight="1" hidden="1">
      <c r="B19" s="181">
        <v>3</v>
      </c>
      <c r="C19" s="394" t="s">
        <v>10</v>
      </c>
      <c r="D19" s="394"/>
      <c r="E19" s="394"/>
      <c r="F19" s="394"/>
      <c r="G19" s="394"/>
      <c r="H19" s="171">
        <f aca="true" t="shared" si="0" ref="H19:N20">H14+H16</f>
        <v>659799.830277182</v>
      </c>
      <c r="I19" s="171">
        <f t="shared" si="0"/>
        <v>687026.3853926883</v>
      </c>
      <c r="J19" s="171">
        <f t="shared" si="0"/>
        <v>696010.269051085</v>
      </c>
      <c r="K19" s="141">
        <f t="shared" si="0"/>
        <v>704482.7727098393</v>
      </c>
      <c r="L19" s="141">
        <f t="shared" si="0"/>
        <v>699524.7628332407</v>
      </c>
      <c r="M19" s="141">
        <f t="shared" si="0"/>
        <v>694584.4190574605</v>
      </c>
      <c r="N19" s="133">
        <f t="shared" si="0"/>
        <v>694584.4190574605</v>
      </c>
      <c r="O19" s="139"/>
      <c r="P19" s="112" t="s">
        <v>188</v>
      </c>
      <c r="Q19"/>
    </row>
    <row r="20" spans="2:19" ht="15.75" customHeight="1">
      <c r="B20" s="181" t="s">
        <v>137</v>
      </c>
      <c r="C20" s="394" t="s">
        <v>10</v>
      </c>
      <c r="D20" s="394"/>
      <c r="E20" s="394"/>
      <c r="F20" s="394"/>
      <c r="G20" s="394"/>
      <c r="H20" s="192">
        <f t="shared" si="0"/>
        <v>726672.1239443806</v>
      </c>
      <c r="I20" s="192">
        <f t="shared" si="0"/>
        <v>729860.1968075901</v>
      </c>
      <c r="J20" s="192">
        <f t="shared" si="0"/>
        <v>731015.5403803074</v>
      </c>
      <c r="K20" s="142">
        <f t="shared" si="0"/>
        <v>704482.7724810564</v>
      </c>
      <c r="L20" s="142">
        <f t="shared" si="0"/>
        <v>699524.7621527947</v>
      </c>
      <c r="M20" s="142">
        <f t="shared" si="0"/>
        <v>694584.4185462422</v>
      </c>
      <c r="N20" s="96">
        <f t="shared" si="0"/>
        <v>694584.4185462422</v>
      </c>
      <c r="O20" s="26"/>
      <c r="P20" s="140" t="s">
        <v>189</v>
      </c>
      <c r="S20" s="81"/>
    </row>
    <row r="21" spans="2:16" ht="15.75" customHeight="1" hidden="1">
      <c r="B21" s="143"/>
      <c r="C21" s="386"/>
      <c r="D21" s="386"/>
      <c r="E21" s="386"/>
      <c r="F21" s="386"/>
      <c r="G21" s="386"/>
      <c r="H21" s="126"/>
      <c r="I21" s="144"/>
      <c r="J21" s="144"/>
      <c r="K21" s="144"/>
      <c r="L21" s="144"/>
      <c r="M21" s="144"/>
      <c r="N21" s="144"/>
      <c r="O21" s="26"/>
      <c r="P21" s="26"/>
    </row>
    <row r="22" spans="2:16" ht="15.75" customHeight="1">
      <c r="B22" s="7"/>
      <c r="C22" s="405" t="s">
        <v>429</v>
      </c>
      <c r="D22" s="405"/>
      <c r="E22" s="405"/>
      <c r="F22" s="7"/>
      <c r="G22" s="7"/>
      <c r="H22" s="7"/>
      <c r="I22" s="7"/>
      <c r="J22" s="7"/>
      <c r="K22" s="144"/>
      <c r="L22" s="144"/>
      <c r="M22" s="144"/>
      <c r="N22" s="144"/>
      <c r="O22" s="26"/>
      <c r="P22" s="26"/>
    </row>
    <row r="23" spans="2:21" ht="15.75" customHeight="1">
      <c r="B23" s="7"/>
      <c r="C23" s="7"/>
      <c r="D23" s="7" t="s">
        <v>178</v>
      </c>
      <c r="E23" s="7" t="s">
        <v>11</v>
      </c>
      <c r="F23" s="7"/>
      <c r="G23" s="7"/>
      <c r="H23" s="7"/>
      <c r="I23" s="7"/>
      <c r="J23" s="7"/>
      <c r="K23" s="10"/>
      <c r="L23" s="10"/>
      <c r="M23" s="10"/>
      <c r="N23" s="10"/>
      <c r="O23" s="139"/>
      <c r="P23" s="145"/>
      <c r="T23"/>
      <c r="U23" s="194"/>
    </row>
    <row r="24" spans="2:20" ht="15.75" customHeight="1">
      <c r="B24" s="7"/>
      <c r="C24" s="7" t="s">
        <v>12</v>
      </c>
      <c r="D24" s="7" t="s">
        <v>13</v>
      </c>
      <c r="E24" s="7" t="s">
        <v>14</v>
      </c>
      <c r="F24" s="7"/>
      <c r="G24" s="7"/>
      <c r="H24" s="7"/>
      <c r="I24" s="7"/>
      <c r="J24" s="7"/>
      <c r="K24" s="10"/>
      <c r="L24" s="10"/>
      <c r="M24" s="10"/>
      <c r="N24" s="10"/>
      <c r="O24" s="139"/>
      <c r="P24" s="146"/>
      <c r="T24"/>
    </row>
    <row r="25" spans="2:20" ht="15.75" customHeight="1" hidden="1">
      <c r="B25" s="147">
        <v>4</v>
      </c>
      <c r="C25" s="147" t="s">
        <v>15</v>
      </c>
      <c r="D25" s="148">
        <v>0</v>
      </c>
      <c r="E25" s="149"/>
      <c r="F25" s="150"/>
      <c r="G25" s="150"/>
      <c r="H25" s="150"/>
      <c r="I25" s="151"/>
      <c r="J25" s="151"/>
      <c r="K25" s="151"/>
      <c r="L25" s="151"/>
      <c r="M25" s="151"/>
      <c r="N25" s="151">
        <v>42825.63064309218</v>
      </c>
      <c r="O25" s="71"/>
      <c r="P25" s="112" t="s">
        <v>209</v>
      </c>
      <c r="S25" s="78"/>
      <c r="T25"/>
    </row>
    <row r="26" spans="2:20" ht="15.75" customHeight="1">
      <c r="B26" s="143" t="s">
        <v>138</v>
      </c>
      <c r="C26" s="143" t="s">
        <v>15</v>
      </c>
      <c r="D26" s="187">
        <f>D25</f>
        <v>0</v>
      </c>
      <c r="E26" s="188">
        <v>9.81118</v>
      </c>
      <c r="F26" s="152"/>
      <c r="G26" s="152"/>
      <c r="H26" s="152"/>
      <c r="I26" s="192">
        <f>I25</f>
        <v>0</v>
      </c>
      <c r="J26" s="192">
        <f>J25</f>
        <v>0</v>
      </c>
      <c r="K26" s="153">
        <f>K25</f>
        <v>0</v>
      </c>
      <c r="L26" s="153">
        <f>L25</f>
        <v>0</v>
      </c>
      <c r="M26" s="153">
        <f>M25</f>
        <v>0</v>
      </c>
      <c r="N26" s="36">
        <f>$D26*N20</f>
        <v>0</v>
      </c>
      <c r="O26" s="154"/>
      <c r="P26" s="155" t="s">
        <v>209</v>
      </c>
      <c r="S26" s="78"/>
      <c r="T26"/>
    </row>
    <row r="27" spans="2:20" ht="15.75" customHeight="1" hidden="1">
      <c r="B27" s="147">
        <v>5</v>
      </c>
      <c r="C27" s="147" t="s">
        <v>16</v>
      </c>
      <c r="D27" s="189">
        <v>0.087</v>
      </c>
      <c r="E27" s="149"/>
      <c r="F27" s="150"/>
      <c r="G27" s="150"/>
      <c r="H27" s="150"/>
      <c r="I27" s="156">
        <v>48863.5918841156</v>
      </c>
      <c r="J27" s="156">
        <v>60552.8928386653</v>
      </c>
      <c r="K27" s="156">
        <v>61290.0012058519</v>
      </c>
      <c r="L27" s="156">
        <v>60858.6543072931</v>
      </c>
      <c r="M27" s="156">
        <v>60428.844413523</v>
      </c>
      <c r="N27" s="151">
        <v>45480.8197429639</v>
      </c>
      <c r="O27" s="71"/>
      <c r="P27" s="112" t="s">
        <v>209</v>
      </c>
      <c r="S27" s="78"/>
      <c r="T27"/>
    </row>
    <row r="28" spans="2:20" ht="15.75" customHeight="1">
      <c r="B28" s="143" t="s">
        <v>139</v>
      </c>
      <c r="C28" s="143" t="s">
        <v>16</v>
      </c>
      <c r="D28" s="187">
        <f>((I$39-I$26)/E28*12)/(I$20+I26)</f>
        <v>-0.016416536332243832</v>
      </c>
      <c r="E28" s="188">
        <v>9.81118</v>
      </c>
      <c r="F28" s="187" t="s">
        <v>464</v>
      </c>
      <c r="G28" s="100"/>
      <c r="H28" s="100"/>
      <c r="I28" s="191">
        <f>$D28*$E28/12*($I20+$I26)</f>
        <v>-9796.280446367919</v>
      </c>
      <c r="J28" s="191">
        <f>($J20+$J26)*$D28</f>
        <v>-12000.743178088174</v>
      </c>
      <c r="K28" s="142">
        <f>($K20+$K26)*$D28</f>
        <v>-11565.167029875127</v>
      </c>
      <c r="L28" s="142">
        <f>($L20+$L26)*$D28</f>
        <v>-11483.77367318558</v>
      </c>
      <c r="M28" s="142">
        <f>($M20+$M26)*$D28</f>
        <v>-11402.67034287484</v>
      </c>
      <c r="N28" s="96">
        <f>(N20+N26)*$D28</f>
        <v>-11402.67034287484</v>
      </c>
      <c r="O28" s="157"/>
      <c r="P28" s="158" t="s">
        <v>421</v>
      </c>
      <c r="S28" s="78"/>
      <c r="T28"/>
    </row>
    <row r="29" spans="2:20" ht="15.75" customHeight="1" hidden="1">
      <c r="B29" s="147">
        <v>6</v>
      </c>
      <c r="C29" s="147" t="s">
        <v>17</v>
      </c>
      <c r="D29" s="189">
        <v>0.051</v>
      </c>
      <c r="E29" s="188"/>
      <c r="F29" s="190"/>
      <c r="G29" s="190"/>
      <c r="H29" s="150"/>
      <c r="I29" s="156"/>
      <c r="J29" s="156">
        <v>31543.3693648252</v>
      </c>
      <c r="K29" s="156">
        <v>39054.4114580323</v>
      </c>
      <c r="L29" s="156">
        <v>38779.5542394645</v>
      </c>
      <c r="M29" s="156">
        <v>38505.676410948</v>
      </c>
      <c r="N29" s="151">
        <v>52585.36392378012</v>
      </c>
      <c r="O29" s="71"/>
      <c r="P29" s="112" t="s">
        <v>209</v>
      </c>
      <c r="R29"/>
      <c r="S29" s="78"/>
      <c r="T29"/>
    </row>
    <row r="30" spans="2:20" ht="15.75" customHeight="1">
      <c r="B30" s="143" t="s">
        <v>154</v>
      </c>
      <c r="C30" s="143" t="s">
        <v>17</v>
      </c>
      <c r="D30" s="187">
        <f>((J$39-J$26-J$28)/E30*12)/(J$20+J28+J26)</f>
        <v>0.020764738411125323</v>
      </c>
      <c r="E30" s="188">
        <v>9.81118</v>
      </c>
      <c r="F30" s="187" t="s">
        <v>464</v>
      </c>
      <c r="G30" s="100"/>
      <c r="H30" s="100"/>
      <c r="I30" s="193">
        <v>0</v>
      </c>
      <c r="J30" s="191">
        <f>($J20+$J26+$J28)*$D30*($E30/12)</f>
        <v>12206.869172041957</v>
      </c>
      <c r="K30" s="142">
        <f>($K20+$K26+$K28)*$D30</f>
        <v>14388.252817657125</v>
      </c>
      <c r="L30" s="142">
        <f>($L20+$L26+$L28)*$D30</f>
        <v>14286.991141911176</v>
      </c>
      <c r="M30" s="142">
        <f>($M20+$M26+$M28)*$D30</f>
        <v>14186.09028869821</v>
      </c>
      <c r="N30" s="96">
        <f>(N20+N26+N28)*$D30</f>
        <v>14186.09028869821</v>
      </c>
      <c r="O30" s="157"/>
      <c r="P30" s="158" t="s">
        <v>421</v>
      </c>
      <c r="R30"/>
      <c r="S30" s="78"/>
      <c r="T30"/>
    </row>
    <row r="31" spans="2:20" ht="15.75" customHeight="1" hidden="1">
      <c r="B31" s="147">
        <v>7</v>
      </c>
      <c r="C31" s="147" t="s">
        <v>236</v>
      </c>
      <c r="D31" s="189">
        <v>0.051</v>
      </c>
      <c r="E31" s="188"/>
      <c r="F31" s="187" t="s">
        <v>464</v>
      </c>
      <c r="G31" s="190"/>
      <c r="H31" s="150"/>
      <c r="I31" s="151"/>
      <c r="J31" s="156"/>
      <c r="K31" s="156">
        <v>33555.6403933863</v>
      </c>
      <c r="L31" s="156">
        <v>40757.3115056772</v>
      </c>
      <c r="M31" s="156">
        <v>40469.4659079064</v>
      </c>
      <c r="N31" s="151">
        <v>56134.87598863528</v>
      </c>
      <c r="O31" s="71"/>
      <c r="P31" s="112" t="s">
        <v>209</v>
      </c>
      <c r="R31"/>
      <c r="S31" s="78"/>
      <c r="T31"/>
    </row>
    <row r="32" spans="2:20" ht="15.75" customHeight="1">
      <c r="B32" s="143" t="s">
        <v>155</v>
      </c>
      <c r="C32" s="143" t="s">
        <v>236</v>
      </c>
      <c r="D32" s="187">
        <f>((K$39-K$26-K$28-K$30)/E32*12)/(K$20+K30+K28+K26)</f>
        <v>0.1863776319616498</v>
      </c>
      <c r="E32" s="188">
        <v>9.81118</v>
      </c>
      <c r="F32" s="187" t="s">
        <v>464</v>
      </c>
      <c r="G32" s="100"/>
      <c r="H32" s="100"/>
      <c r="I32" s="96">
        <v>0</v>
      </c>
      <c r="J32" s="96">
        <v>0</v>
      </c>
      <c r="K32" s="142">
        <f>$D32*($E32/12)*($K20+$K26+$K28+$K30)</f>
        <v>107780.71047990059</v>
      </c>
      <c r="L32" s="142">
        <f>$D32*($L20+$L26+$L28+$L30)</f>
        <v>130898.22570226878</v>
      </c>
      <c r="M32" s="142">
        <f>$D32*($M20+$M26+$M28+$M30)</f>
        <v>129973.76634436543</v>
      </c>
      <c r="N32" s="96">
        <f>D32*(N20+N26+N28+N30)</f>
        <v>129973.76634436543</v>
      </c>
      <c r="O32" s="157"/>
      <c r="P32" s="158" t="s">
        <v>421</v>
      </c>
      <c r="R32"/>
      <c r="S32" s="78"/>
      <c r="T32"/>
    </row>
    <row r="33" spans="2:20" ht="15.75" customHeight="1" hidden="1">
      <c r="B33" s="147">
        <v>8</v>
      </c>
      <c r="C33" s="147" t="s">
        <v>237</v>
      </c>
      <c r="D33" s="189">
        <v>0.073</v>
      </c>
      <c r="E33" s="188"/>
      <c r="F33" s="187" t="s">
        <v>464</v>
      </c>
      <c r="G33" s="190"/>
      <c r="H33" s="150"/>
      <c r="I33" s="151"/>
      <c r="J33" s="151"/>
      <c r="K33" s="156">
        <v>0</v>
      </c>
      <c r="L33" s="156">
        <v>50124.9147262265</v>
      </c>
      <c r="M33" s="156">
        <v>60881.1535853391</v>
      </c>
      <c r="N33" s="151">
        <v>49020.63200824867</v>
      </c>
      <c r="O33" s="71"/>
      <c r="P33" s="112" t="s">
        <v>209</v>
      </c>
      <c r="R33"/>
      <c r="S33" s="78"/>
      <c r="T33"/>
    </row>
    <row r="34" spans="2:20" ht="15.75" customHeight="1">
      <c r="B34" s="143" t="s">
        <v>156</v>
      </c>
      <c r="C34" s="143" t="s">
        <v>237</v>
      </c>
      <c r="D34" s="187">
        <f>((L$39-L$26-L$28-L$30-L$32)/E34*12)/(L$20+L32+L30+L28+L26)</f>
        <v>0.051758283339073355</v>
      </c>
      <c r="E34" s="188">
        <v>9.81118</v>
      </c>
      <c r="F34" s="187" t="s">
        <v>464</v>
      </c>
      <c r="G34" s="100"/>
      <c r="H34" s="100"/>
      <c r="I34" s="96">
        <v>0</v>
      </c>
      <c r="J34" s="96">
        <v>0</v>
      </c>
      <c r="K34" s="142">
        <v>0</v>
      </c>
      <c r="L34" s="142">
        <f>$D34*($E34/12)*($L20+L26+$L28+$L30+$L32)</f>
        <v>35260.03844045244</v>
      </c>
      <c r="M34" s="142">
        <f>$D34*($M20+M26+$M28+$M30+$M32)</f>
        <v>42821.781201327656</v>
      </c>
      <c r="N34" s="96">
        <f>D34*(E34/12)*(N20+N26+N28+N30+N32)</f>
        <v>35011.01694057015</v>
      </c>
      <c r="O34" s="157"/>
      <c r="P34" s="158" t="s">
        <v>421</v>
      </c>
      <c r="R34"/>
      <c r="S34" s="78"/>
      <c r="T34"/>
    </row>
    <row r="35" spans="2:20" ht="15.75" customHeight="1" hidden="1">
      <c r="B35" s="147">
        <v>9</v>
      </c>
      <c r="C35" s="147" t="s">
        <v>273</v>
      </c>
      <c r="D35" s="189">
        <v>0.076</v>
      </c>
      <c r="E35" s="188"/>
      <c r="F35" s="187" t="s">
        <v>464</v>
      </c>
      <c r="G35" s="190"/>
      <c r="H35" s="150"/>
      <c r="I35" s="151"/>
      <c r="J35" s="151"/>
      <c r="K35" s="156"/>
      <c r="L35" s="156"/>
      <c r="M35" s="156">
        <v>55598.8802525228</v>
      </c>
      <c r="N35" s="151"/>
      <c r="O35" s="71"/>
      <c r="P35" s="112" t="s">
        <v>209</v>
      </c>
      <c r="R35"/>
      <c r="S35" s="78"/>
      <c r="T35"/>
    </row>
    <row r="36" spans="2:20" ht="15.75" customHeight="1">
      <c r="B36" s="181" t="s">
        <v>157</v>
      </c>
      <c r="C36" s="181" t="s">
        <v>273</v>
      </c>
      <c r="D36" s="187">
        <f>((M$39-M$26-M$28-M$30-M$32-M34)/E36*12)/(M$20+M34+M32+M30+M28+M26)</f>
        <v>0.08257299572447438</v>
      </c>
      <c r="E36" s="188">
        <v>9.81118</v>
      </c>
      <c r="F36" s="187" t="s">
        <v>464</v>
      </c>
      <c r="G36" s="100"/>
      <c r="H36" s="100"/>
      <c r="I36" s="186">
        <v>0</v>
      </c>
      <c r="J36" s="186">
        <v>0</v>
      </c>
      <c r="K36" s="96"/>
      <c r="L36" s="96"/>
      <c r="M36" s="142">
        <f>$D36*($E36/12)*($M20+M26+M28+$M30+$M32+$M34)</f>
        <v>58746.0734475488</v>
      </c>
      <c r="N36" s="96"/>
      <c r="O36" s="157"/>
      <c r="P36" s="158" t="s">
        <v>421</v>
      </c>
      <c r="R36"/>
      <c r="S36" s="78"/>
      <c r="T36"/>
    </row>
    <row r="37" spans="2:20" ht="2.25" customHeight="1">
      <c r="B37" s="179"/>
      <c r="C37" s="179"/>
      <c r="D37" s="179"/>
      <c r="E37" s="179"/>
      <c r="F37" s="179"/>
      <c r="G37" s="179"/>
      <c r="H37" s="179"/>
      <c r="I37" s="186"/>
      <c r="J37" s="180"/>
      <c r="K37" s="9"/>
      <c r="L37" s="9"/>
      <c r="M37" s="9"/>
      <c r="N37" s="9"/>
      <c r="O37" s="9"/>
      <c r="P37" s="9"/>
      <c r="R37"/>
      <c r="S37"/>
      <c r="T37"/>
    </row>
    <row r="38" spans="2:20" ht="15.75" customHeight="1" hidden="1">
      <c r="B38" s="137">
        <v>10</v>
      </c>
      <c r="C38" s="387" t="s">
        <v>18</v>
      </c>
      <c r="D38" s="387"/>
      <c r="E38" s="387"/>
      <c r="F38" s="387"/>
      <c r="G38" s="387"/>
      <c r="H38" s="138"/>
      <c r="I38" s="141">
        <f>ROUND(I25,2)+ROUND(I27,2)+ROUND(I29,2)+ROUND(I31,2)+ROUND(I33,2)+ROUND(I35,2)</f>
        <v>48863.59</v>
      </c>
      <c r="J38" s="141">
        <f>ROUND(J25,2)+ROUND(J27,2)+ROUND(J29,2)+ROUND(J31,2)+ROUND(J33,2)+ROUND(J35,2)</f>
        <v>92096.26</v>
      </c>
      <c r="K38" s="141">
        <f>ROUND(K25,2)+ROUND(K27,2)+ROUND(K29,2)+ROUND(K31,2)+ROUND(K33,2)+ROUND(K35,2)</f>
        <v>133900.05</v>
      </c>
      <c r="L38" s="141">
        <f>ROUND(L25,2)+ROUND(L27,2)+ROUND(L29,2)+ROUND(L31,2)+ROUND(L33,2)+ROUND(L35,2)</f>
        <v>190520.42</v>
      </c>
      <c r="M38" s="141">
        <f>ROUND(M25,2)+ROUND(M27,2)+ROUND(M29,2)+ROUND(M31,2)+ROUND(M33,2)+ROUND(M35,2)</f>
        <v>255884.02</v>
      </c>
      <c r="N38" s="133">
        <f>N25+N27+N29+N31+N33</f>
        <v>246047.32230672016</v>
      </c>
      <c r="O38" s="139"/>
      <c r="P38" s="159" t="s">
        <v>340</v>
      </c>
      <c r="R38"/>
      <c r="S38"/>
      <c r="T38"/>
    </row>
    <row r="39" spans="2:20" ht="15.75" customHeight="1">
      <c r="B39" s="143" t="s">
        <v>158</v>
      </c>
      <c r="C39" s="386" t="s">
        <v>18</v>
      </c>
      <c r="D39" s="386"/>
      <c r="E39" s="386"/>
      <c r="F39" s="386"/>
      <c r="G39" s="386"/>
      <c r="H39" s="202"/>
      <c r="I39" s="207">
        <f>$I147</f>
        <v>-9796.28044636792</v>
      </c>
      <c r="J39" s="207">
        <f>$J147</f>
        <v>206.12599395378493</v>
      </c>
      <c r="K39" s="182">
        <f>$K147</f>
        <v>110603.79626768257</v>
      </c>
      <c r="L39" s="182">
        <f>$L147</f>
        <v>168961.48161144683</v>
      </c>
      <c r="M39" s="182">
        <f>$M147</f>
        <v>234325.04093906528</v>
      </c>
      <c r="N39" s="171" t="e">
        <f>N$147</f>
        <v>#REF!</v>
      </c>
      <c r="O39" s="195"/>
      <c r="P39" s="160" t="s">
        <v>225</v>
      </c>
      <c r="R39"/>
      <c r="S39" s="79"/>
      <c r="T39"/>
    </row>
    <row r="40" spans="2:20" ht="15.75" customHeight="1" hidden="1">
      <c r="B40" s="137">
        <v>11</v>
      </c>
      <c r="C40" s="387" t="s">
        <v>309</v>
      </c>
      <c r="D40" s="387"/>
      <c r="E40" s="387"/>
      <c r="F40" s="387"/>
      <c r="G40" s="387"/>
      <c r="H40" s="133">
        <f>$H19+$H38</f>
        <v>659799.830277182</v>
      </c>
      <c r="I40" s="133">
        <f>$I19+$I38</f>
        <v>735889.9753926883</v>
      </c>
      <c r="J40" s="133">
        <f>$J19+$J38</f>
        <v>788106.529051085</v>
      </c>
      <c r="K40" s="141">
        <f>$K19+$K38</f>
        <v>838382.8227098393</v>
      </c>
      <c r="L40" s="141">
        <f>$L19+$L38</f>
        <v>890045.1828332407</v>
      </c>
      <c r="M40" s="141">
        <f>$M19+$M38</f>
        <v>950468.4390574605</v>
      </c>
      <c r="N40" s="133">
        <f>N19+N38</f>
        <v>940631.7413641807</v>
      </c>
      <c r="O40" s="196"/>
      <c r="P40" s="159" t="s">
        <v>339</v>
      </c>
      <c r="Q40" s="34"/>
      <c r="R40"/>
      <c r="S40"/>
      <c r="T40"/>
    </row>
    <row r="41" spans="2:20" ht="15.75" customHeight="1" hidden="1">
      <c r="B41" s="137" t="s">
        <v>310</v>
      </c>
      <c r="C41" s="387" t="s">
        <v>375</v>
      </c>
      <c r="D41" s="387"/>
      <c r="E41" s="387"/>
      <c r="F41" s="387"/>
      <c r="G41" s="387"/>
      <c r="H41" s="203"/>
      <c r="I41" s="204"/>
      <c r="J41" s="204"/>
      <c r="K41" s="161"/>
      <c r="L41" s="161"/>
      <c r="M41" s="161"/>
      <c r="N41" s="125"/>
      <c r="O41" s="196"/>
      <c r="P41" s="159" t="s">
        <v>367</v>
      </c>
      <c r="R41"/>
      <c r="S41" s="79"/>
      <c r="T41"/>
    </row>
    <row r="42" spans="2:20" ht="15.75" customHeight="1">
      <c r="B42" s="143" t="s">
        <v>159</v>
      </c>
      <c r="C42" s="386" t="s">
        <v>19</v>
      </c>
      <c r="D42" s="386"/>
      <c r="E42" s="386"/>
      <c r="F42" s="386"/>
      <c r="G42" s="386"/>
      <c r="H42" s="205">
        <f>$H20+$H39</f>
        <v>726672.1239443806</v>
      </c>
      <c r="I42" s="205">
        <f>$I20+$I39</f>
        <v>720063.9163612222</v>
      </c>
      <c r="J42" s="205">
        <f>$J20+$J39</f>
        <v>731221.6663742611</v>
      </c>
      <c r="K42" s="197">
        <f>$K20+$K39</f>
        <v>815086.568748739</v>
      </c>
      <c r="L42" s="197">
        <f>$L20+$L39</f>
        <v>868486.2437642416</v>
      </c>
      <c r="M42" s="197">
        <f>$M20+$M39</f>
        <v>928909.4594853075</v>
      </c>
      <c r="N42" s="198" t="e">
        <f>N20+N39</f>
        <v>#REF!</v>
      </c>
      <c r="O42" s="199"/>
      <c r="P42" s="162" t="s">
        <v>393</v>
      </c>
      <c r="R42"/>
      <c r="S42"/>
      <c r="T42"/>
    </row>
    <row r="43" spans="2:20" ht="15.75" customHeight="1">
      <c r="B43" s="143" t="s">
        <v>311</v>
      </c>
      <c r="C43" s="386" t="s">
        <v>465</v>
      </c>
      <c r="D43" s="386"/>
      <c r="E43" s="386"/>
      <c r="F43" s="386"/>
      <c r="G43" s="386"/>
      <c r="H43" s="202">
        <v>0</v>
      </c>
      <c r="I43" s="205">
        <v>0</v>
      </c>
      <c r="J43" s="205">
        <v>0</v>
      </c>
      <c r="K43" s="197"/>
      <c r="L43" s="197"/>
      <c r="M43" s="197"/>
      <c r="N43" s="198"/>
      <c r="O43" s="199"/>
      <c r="P43" s="162" t="s">
        <v>367</v>
      </c>
      <c r="R43"/>
      <c r="S43" s="79"/>
      <c r="T43"/>
    </row>
    <row r="44" spans="2:20" ht="15.75" customHeight="1" hidden="1">
      <c r="B44" s="137">
        <v>12</v>
      </c>
      <c r="C44" s="387" t="s">
        <v>20</v>
      </c>
      <c r="D44" s="387"/>
      <c r="E44" s="387"/>
      <c r="F44" s="387"/>
      <c r="G44" s="387"/>
      <c r="H44" s="133">
        <f>'C-3 Receipts Existing Rates'!H51</f>
        <v>45632.91851308245</v>
      </c>
      <c r="I44" s="133">
        <f>'C-3 Receipts Existing Rates'!I51</f>
        <v>29191.54470897872</v>
      </c>
      <c r="J44" s="133">
        <f>'C-3 Receipts Existing Rates'!J51</f>
        <v>29111.085499700817</v>
      </c>
      <c r="K44" s="133">
        <f>'C-3 Receipts Existing Rates'!K51</f>
        <v>29034.01137047283</v>
      </c>
      <c r="L44" s="133">
        <f>'C-3 Receipts Existing Rates'!L51</f>
        <v>28957.174851482847</v>
      </c>
      <c r="M44" s="133">
        <f>'C-3 Receipts Existing Rates'!M51</f>
        <v>28880.565830547523</v>
      </c>
      <c r="N44" s="133">
        <f>'C-3 Receipts Existing Rates'!M51</f>
        <v>28880.565830547523</v>
      </c>
      <c r="O44" s="196"/>
      <c r="P44" s="159" t="s">
        <v>394</v>
      </c>
      <c r="Q44"/>
      <c r="T44"/>
    </row>
    <row r="45" spans="2:20" ht="15.75" customHeight="1">
      <c r="B45" s="143" t="s">
        <v>160</v>
      </c>
      <c r="C45" s="394" t="s">
        <v>20</v>
      </c>
      <c r="D45" s="394"/>
      <c r="E45" s="394"/>
      <c r="F45" s="394"/>
      <c r="G45" s="394"/>
      <c r="H45" s="193">
        <f>'C-3 Receipts Existing Rates'!H52</f>
        <v>45632.92</v>
      </c>
      <c r="I45" s="193">
        <f>'C-3 Receipts Existing Rates'!I52</f>
        <v>29191.54</v>
      </c>
      <c r="J45" s="193">
        <f>'C-3 Receipts Existing Rates'!J52</f>
        <v>29111.09</v>
      </c>
      <c r="K45" s="193">
        <f>'C-3 Receipts Existing Rates'!K52</f>
        <v>29034.010000000002</v>
      </c>
      <c r="L45" s="193">
        <f>'C-3 Receipts Existing Rates'!L52</f>
        <v>28957.17</v>
      </c>
      <c r="M45" s="193">
        <f>'C-3 Receipts Existing Rates'!M52</f>
        <v>28880.57</v>
      </c>
      <c r="N45" s="193">
        <f>'C-3 Receipts Existing Rates'!M52</f>
        <v>28880.57</v>
      </c>
      <c r="O45" s="199"/>
      <c r="P45" s="162" t="s">
        <v>394</v>
      </c>
      <c r="Q45"/>
      <c r="T45"/>
    </row>
    <row r="46" spans="2:20" ht="15.75" customHeight="1" hidden="1">
      <c r="B46" s="137">
        <v>13</v>
      </c>
      <c r="C46" s="387" t="s">
        <v>21</v>
      </c>
      <c r="D46" s="387"/>
      <c r="E46" s="387"/>
      <c r="F46" s="387"/>
      <c r="G46" s="387"/>
      <c r="H46" s="133">
        <f>'C-3 Receipts Existing Rates'!H54</f>
        <v>0</v>
      </c>
      <c r="I46" s="133">
        <f>'C-3 Receipts Existing Rates'!I54</f>
        <v>0</v>
      </c>
      <c r="J46" s="133">
        <f>'C-3 Receipts Existing Rates'!J54</f>
        <v>0</v>
      </c>
      <c r="K46" s="133">
        <f>'C-3 Receipts Existing Rates'!K54</f>
        <v>0</v>
      </c>
      <c r="L46" s="133">
        <f>'C-3 Receipts Existing Rates'!L54</f>
        <v>0</v>
      </c>
      <c r="M46" s="133">
        <f>'C-3 Receipts Existing Rates'!M54</f>
        <v>0</v>
      </c>
      <c r="N46" s="133">
        <f>'C-3 Receipts Existing Rates'!M54</f>
        <v>0</v>
      </c>
      <c r="O46" s="196"/>
      <c r="P46" s="159" t="s">
        <v>394</v>
      </c>
      <c r="Q46"/>
      <c r="T46"/>
    </row>
    <row r="47" spans="2:20" ht="15.75" customHeight="1">
      <c r="B47" s="143" t="s">
        <v>161</v>
      </c>
      <c r="C47" s="394" t="s">
        <v>21</v>
      </c>
      <c r="D47" s="394"/>
      <c r="E47" s="394"/>
      <c r="F47" s="394"/>
      <c r="G47" s="394"/>
      <c r="H47" s="193">
        <f>'C-3 Receipts Existing Rates'!H55</f>
        <v>0</v>
      </c>
      <c r="I47" s="193">
        <f>'C-3 Receipts Existing Rates'!I55</f>
        <v>0</v>
      </c>
      <c r="J47" s="193">
        <f>'C-3 Receipts Existing Rates'!J55</f>
        <v>0</v>
      </c>
      <c r="K47" s="193">
        <f>'C-3 Receipts Existing Rates'!K55</f>
        <v>0</v>
      </c>
      <c r="L47" s="193">
        <f>'C-3 Receipts Existing Rates'!L55</f>
        <v>0</v>
      </c>
      <c r="M47" s="193">
        <f>'C-3 Receipts Existing Rates'!M55</f>
        <v>0</v>
      </c>
      <c r="N47" s="193">
        <f>'C-3 Receipts Existing Rates'!M55</f>
        <v>0</v>
      </c>
      <c r="O47" s="199"/>
      <c r="P47" s="162" t="s">
        <v>394</v>
      </c>
      <c r="Q47"/>
      <c r="T47"/>
    </row>
    <row r="48" spans="2:20" ht="15.75" customHeight="1" hidden="1">
      <c r="B48" s="137">
        <v>14</v>
      </c>
      <c r="C48" s="387" t="s">
        <v>22</v>
      </c>
      <c r="D48" s="387"/>
      <c r="E48" s="387"/>
      <c r="F48" s="387"/>
      <c r="G48" s="387"/>
      <c r="H48" s="133">
        <f>ROUND('C-3 Receipts Existing Rates'!H56,2)</f>
        <v>1071.41</v>
      </c>
      <c r="I48" s="133">
        <f>ROUND('C-3 Receipts Existing Rates'!I56,2)</f>
        <v>1280.47</v>
      </c>
      <c r="J48" s="133">
        <f>ROUND('C-3 Receipts Existing Rates'!J56,2)</f>
        <v>1315.87</v>
      </c>
      <c r="K48" s="133">
        <f>ROUND('C-3 Receipts Existing Rates'!K56,2)</f>
        <v>1354.28</v>
      </c>
      <c r="L48" s="133">
        <f>ROUND('C-3 Receipts Existing Rates'!L56,2)</f>
        <v>1375.93</v>
      </c>
      <c r="M48" s="133">
        <f>ROUND('C-3 Receipts Existing Rates'!M56,2)</f>
        <v>1413.17</v>
      </c>
      <c r="N48" s="133">
        <f>'C-3 Receipts Existing Rates'!M56</f>
        <v>1413.1742148659919</v>
      </c>
      <c r="O48" s="196"/>
      <c r="P48" s="159" t="s">
        <v>394</v>
      </c>
      <c r="Q48"/>
      <c r="T48"/>
    </row>
    <row r="49" spans="2:20" ht="15.75" customHeight="1" hidden="1">
      <c r="B49" s="395" t="s">
        <v>428</v>
      </c>
      <c r="C49" s="395"/>
      <c r="D49" s="395"/>
      <c r="E49" s="395"/>
      <c r="F49" s="395"/>
      <c r="G49" s="395"/>
      <c r="H49" s="395"/>
      <c r="I49" s="395"/>
      <c r="J49" s="395"/>
      <c r="K49" s="395"/>
      <c r="L49" s="395"/>
      <c r="M49" s="395"/>
      <c r="N49" s="395"/>
      <c r="O49" s="395"/>
      <c r="P49" s="395"/>
      <c r="Q49"/>
      <c r="T49"/>
    </row>
    <row r="50" spans="2:20" ht="15.75" customHeight="1" hidden="1">
      <c r="B50" s="395"/>
      <c r="C50" s="395"/>
      <c r="D50" s="395"/>
      <c r="E50" s="395"/>
      <c r="F50" s="395"/>
      <c r="G50" s="395"/>
      <c r="H50" s="395"/>
      <c r="I50" s="395"/>
      <c r="J50" s="395"/>
      <c r="K50" s="395"/>
      <c r="L50" s="395"/>
      <c r="M50" s="395"/>
      <c r="N50" s="395"/>
      <c r="O50" s="395"/>
      <c r="P50" s="395"/>
      <c r="Q50"/>
      <c r="T50"/>
    </row>
    <row r="51" spans="2:20" ht="15.75" customHeight="1" hidden="1">
      <c r="B51" s="395"/>
      <c r="C51" s="395"/>
      <c r="D51" s="395"/>
      <c r="E51" s="395"/>
      <c r="F51" s="395"/>
      <c r="G51" s="395"/>
      <c r="H51" s="395"/>
      <c r="I51" s="395"/>
      <c r="J51" s="395"/>
      <c r="K51" s="395"/>
      <c r="L51" s="395"/>
      <c r="M51" s="395"/>
      <c r="N51" s="395"/>
      <c r="O51" s="395"/>
      <c r="P51" s="395"/>
      <c r="Q51"/>
      <c r="T51"/>
    </row>
    <row r="52" spans="2:20" ht="32.25" customHeight="1" hidden="1">
      <c r="B52" s="395"/>
      <c r="C52" s="395"/>
      <c r="D52" s="395"/>
      <c r="E52" s="395"/>
      <c r="F52" s="395"/>
      <c r="G52" s="395"/>
      <c r="H52" s="395"/>
      <c r="I52" s="395"/>
      <c r="J52" s="395"/>
      <c r="K52" s="395"/>
      <c r="L52" s="395"/>
      <c r="M52" s="395"/>
      <c r="N52" s="395"/>
      <c r="O52" s="395"/>
      <c r="P52" s="395"/>
      <c r="Q52"/>
      <c r="T52"/>
    </row>
    <row r="53" spans="2:20" ht="15.75" customHeight="1">
      <c r="B53" s="143" t="s">
        <v>150</v>
      </c>
      <c r="C53" s="394" t="s">
        <v>22</v>
      </c>
      <c r="D53" s="394"/>
      <c r="E53" s="394"/>
      <c r="F53" s="394"/>
      <c r="G53" s="394"/>
      <c r="H53" s="193">
        <f>'C-3 Receipts Existing Rates'!H57</f>
        <v>1071.41</v>
      </c>
      <c r="I53" s="193">
        <f>'C-3 Receipts Existing Rates'!I57</f>
        <v>1280.47</v>
      </c>
      <c r="J53" s="193">
        <f>'C-3 Receipts Existing Rates'!J57</f>
        <v>1315.87</v>
      </c>
      <c r="K53" s="193">
        <f>'C-3 Receipts Existing Rates'!K57</f>
        <v>1354.28</v>
      </c>
      <c r="L53" s="193">
        <f>'C-3 Receipts Existing Rates'!L57</f>
        <v>1375.93</v>
      </c>
      <c r="M53" s="193">
        <f>'C-3 Receipts Existing Rates'!M57</f>
        <v>1413.17</v>
      </c>
      <c r="N53" s="193">
        <f>'C-3 Receipts Existing Rates'!M57</f>
        <v>1413.17</v>
      </c>
      <c r="O53" s="199"/>
      <c r="P53" s="162" t="s">
        <v>394</v>
      </c>
      <c r="Q53"/>
      <c r="T53"/>
    </row>
    <row r="54" spans="2:20" ht="15.75" customHeight="1" hidden="1">
      <c r="B54" s="137">
        <v>15</v>
      </c>
      <c r="C54" s="387" t="s">
        <v>23</v>
      </c>
      <c r="D54" s="387"/>
      <c r="E54" s="387"/>
      <c r="F54" s="387"/>
      <c r="G54" s="387"/>
      <c r="H54" s="133">
        <f>ROUND('C-3 Receipts Existing Rates'!H58,2)</f>
        <v>1298.02</v>
      </c>
      <c r="I54" s="133">
        <f>ROUND('C-3 Receipts Existing Rates'!I58,2)</f>
        <v>1089.02</v>
      </c>
      <c r="J54" s="133">
        <f>ROUND('C-3 Receipts Existing Rates'!J58,2)</f>
        <v>1092.02</v>
      </c>
      <c r="K54" s="133">
        <f>ROUND('C-3 Receipts Existing Rates'!K58,2)</f>
        <v>1109.52</v>
      </c>
      <c r="L54" s="133">
        <f>ROUND('C-3 Receipts Existing Rates'!L58,2)</f>
        <v>1126.52</v>
      </c>
      <c r="M54" s="133">
        <f>ROUND('C-3 Receipts Existing Rates'!M58,2)</f>
        <v>1132.02</v>
      </c>
      <c r="N54" s="133">
        <f>'C-3 Receipts Existing Rates'!M58</f>
        <v>1132.0157515</v>
      </c>
      <c r="O54" s="196"/>
      <c r="P54" s="159" t="s">
        <v>394</v>
      </c>
      <c r="Q54"/>
      <c r="T54"/>
    </row>
    <row r="55" spans="2:20" ht="15.75" customHeight="1">
      <c r="B55" s="181" t="s">
        <v>146</v>
      </c>
      <c r="C55" s="394" t="s">
        <v>23</v>
      </c>
      <c r="D55" s="394"/>
      <c r="E55" s="394"/>
      <c r="F55" s="394"/>
      <c r="G55" s="394"/>
      <c r="H55" s="186">
        <f>'C-3 Receipts Existing Rates'!H59</f>
        <v>1298.02</v>
      </c>
      <c r="I55" s="186">
        <f>'C-3 Receipts Existing Rates'!I59</f>
        <v>1089.02</v>
      </c>
      <c r="J55" s="186">
        <f>'C-3 Receipts Existing Rates'!J59</f>
        <v>1092.02</v>
      </c>
      <c r="K55" s="193">
        <f>'C-3 Receipts Existing Rates'!K59</f>
        <v>1109.52</v>
      </c>
      <c r="L55" s="193">
        <f>'C-3 Receipts Existing Rates'!L59</f>
        <v>1126.52</v>
      </c>
      <c r="M55" s="193">
        <f>'C-3 Receipts Existing Rates'!M59</f>
        <v>1132.02</v>
      </c>
      <c r="N55" s="193">
        <f>'C-3 Receipts Existing Rates'!M59</f>
        <v>1132.02</v>
      </c>
      <c r="O55" s="199"/>
      <c r="P55" s="162" t="s">
        <v>394</v>
      </c>
      <c r="T55"/>
    </row>
    <row r="56" spans="2:20" ht="2.25" customHeight="1">
      <c r="B56" s="179"/>
      <c r="C56" s="201"/>
      <c r="D56" s="201"/>
      <c r="E56" s="201"/>
      <c r="F56" s="201"/>
      <c r="G56" s="201"/>
      <c r="H56" s="201"/>
      <c r="I56" s="180"/>
      <c r="J56" s="180"/>
      <c r="K56" s="9"/>
      <c r="L56" s="9"/>
      <c r="M56" s="9"/>
      <c r="N56" s="9"/>
      <c r="O56" s="26"/>
      <c r="P56" s="26"/>
      <c r="T56"/>
    </row>
    <row r="57" spans="2:20" ht="15" hidden="1">
      <c r="B57" s="137">
        <v>16</v>
      </c>
      <c r="C57" s="387" t="s">
        <v>24</v>
      </c>
      <c r="D57" s="387"/>
      <c r="E57" s="387"/>
      <c r="F57" s="387"/>
      <c r="G57" s="387"/>
      <c r="H57" s="141">
        <f>$H40+$H41+$H44+$H46+$H48+$H54</f>
        <v>707802.1787902645</v>
      </c>
      <c r="I57" s="141">
        <f>$I40+$I41+$I44+$I46+$I48+$I54</f>
        <v>767451.010101667</v>
      </c>
      <c r="J57" s="141">
        <f>$J40+$J41+$J44+$J46+$J48+$J54</f>
        <v>819625.5045507859</v>
      </c>
      <c r="K57" s="141">
        <f>$K40+$K41+$K44+$K46+$K48+$K54</f>
        <v>869880.6340803122</v>
      </c>
      <c r="L57" s="141">
        <f>$L40+$L41+$L44+$L46+$L48+$L54</f>
        <v>921504.8076847236</v>
      </c>
      <c r="M57" s="141">
        <f>$M40+$M41+$M44+$M46+$M48+$M54</f>
        <v>981894.1948880081</v>
      </c>
      <c r="N57" s="133">
        <f>N40+N41+N44+N46+N48+N54</f>
        <v>972057.4971610942</v>
      </c>
      <c r="O57" s="139"/>
      <c r="P57" s="159" t="s">
        <v>337</v>
      </c>
      <c r="T57"/>
    </row>
    <row r="58" spans="2:20" ht="15">
      <c r="B58" s="143" t="s">
        <v>145</v>
      </c>
      <c r="C58" s="386" t="s">
        <v>24</v>
      </c>
      <c r="D58" s="386"/>
      <c r="E58" s="386"/>
      <c r="F58" s="386"/>
      <c r="G58" s="386"/>
      <c r="H58" s="206">
        <f>$H43+$H42+$H45+$H47+$H53+$H55</f>
        <v>774674.4739443806</v>
      </c>
      <c r="I58" s="206">
        <f>$I43+$I42+$I45+$I47+$I53+$I55</f>
        <v>751624.9463612222</v>
      </c>
      <c r="J58" s="206">
        <f>$J43+$J42+$J45+$J47+$J53+$J55</f>
        <v>762740.6463742611</v>
      </c>
      <c r="K58" s="142">
        <f>$K43+$K42+$K45+$K47+$K53+$K55</f>
        <v>846584.378748739</v>
      </c>
      <c r="L58" s="142">
        <f>$L43+$L42+$L45+$L47+$L53+$L55</f>
        <v>899945.8637642417</v>
      </c>
      <c r="M58" s="142">
        <f>$M43+$M42+$M45+$M47+$M53+$M55</f>
        <v>960335.2194853075</v>
      </c>
      <c r="N58" s="96" t="e">
        <f>N43+N42+N45+N47+N53+N55</f>
        <v>#REF!</v>
      </c>
      <c r="O58" s="26"/>
      <c r="P58" s="162" t="s">
        <v>338</v>
      </c>
      <c r="T58"/>
    </row>
    <row r="59" spans="2:20" ht="15">
      <c r="B59" s="7"/>
      <c r="C59" s="7" t="s">
        <v>25</v>
      </c>
      <c r="D59" s="7"/>
      <c r="E59" s="7"/>
      <c r="F59" s="7"/>
      <c r="G59" s="7"/>
      <c r="H59" s="7"/>
      <c r="I59" s="11"/>
      <c r="J59" s="11"/>
      <c r="K59" s="11"/>
      <c r="L59" s="11"/>
      <c r="M59" s="11"/>
      <c r="N59" s="11"/>
      <c r="O59" s="11"/>
      <c r="P59" s="11"/>
      <c r="T59"/>
    </row>
    <row r="60" spans="2:20" ht="2.25" customHeight="1">
      <c r="B60" s="179"/>
      <c r="C60" s="179"/>
      <c r="D60" s="179"/>
      <c r="E60" s="179"/>
      <c r="F60" s="179"/>
      <c r="G60" s="179"/>
      <c r="H60" s="179"/>
      <c r="I60" s="180"/>
      <c r="J60" s="180"/>
      <c r="K60" s="9"/>
      <c r="L60" s="9"/>
      <c r="M60" s="9"/>
      <c r="N60" s="9"/>
      <c r="O60" s="9"/>
      <c r="P60" s="9"/>
      <c r="T60"/>
    </row>
    <row r="61" spans="2:20" ht="15" hidden="1">
      <c r="B61" s="137">
        <v>17</v>
      </c>
      <c r="C61" s="387" t="s">
        <v>26</v>
      </c>
      <c r="D61" s="387"/>
      <c r="E61" s="387"/>
      <c r="F61" s="387"/>
      <c r="G61" s="387"/>
      <c r="H61" s="133">
        <f>-'Table C-6 O&amp;M Expense'!$G55</f>
        <v>-525844.46</v>
      </c>
      <c r="I61" s="133">
        <f>-'Table C-6 O&amp;M Expense'!$H55</f>
        <v>-543867.9799999999</v>
      </c>
      <c r="J61" s="133">
        <f>-'Table C-6 O&amp;M Expense'!$I55</f>
        <v>-558009</v>
      </c>
      <c r="K61" s="133">
        <f>-'Table C-6 O&amp;M Expense'!$J55</f>
        <v>-572357.21</v>
      </c>
      <c r="L61" s="133">
        <f>-'Table C-6 O&amp;M Expense'!$K55</f>
        <v>-586997.7699999999</v>
      </c>
      <c r="M61" s="133">
        <f>-'Table C-6 O&amp;M Expense'!$L55</f>
        <v>-602222.2399999999</v>
      </c>
      <c r="N61" s="133" t="e">
        <f>-'Table C-6 O&amp;M Expense'!#REF!</f>
        <v>#REF!</v>
      </c>
      <c r="O61" s="139"/>
      <c r="P61" s="163" t="s">
        <v>226</v>
      </c>
      <c r="T61"/>
    </row>
    <row r="62" spans="2:20" ht="15">
      <c r="B62" s="181" t="s">
        <v>162</v>
      </c>
      <c r="C62" s="394" t="s">
        <v>26</v>
      </c>
      <c r="D62" s="394"/>
      <c r="E62" s="394"/>
      <c r="F62" s="394"/>
      <c r="G62" s="394"/>
      <c r="H62" s="206">
        <f>-'Table C-6 O&amp;M Expense'!$G56</f>
        <v>-524653.3</v>
      </c>
      <c r="I62" s="206">
        <f>-'Table C-6 O&amp;M Expense'!$H56</f>
        <v>-531980.94</v>
      </c>
      <c r="J62" s="206">
        <f>-'Table C-6 O&amp;M Expense'!$I56</f>
        <v>-544955.74</v>
      </c>
      <c r="K62" s="96">
        <f>-'Table C-6 O&amp;M Expense'!$J56</f>
        <v>-572357.21</v>
      </c>
      <c r="L62" s="96">
        <f>-'Table C-6 O&amp;M Expense'!$K56</f>
        <v>-586997.7699999999</v>
      </c>
      <c r="M62" s="96">
        <f>-'Table C-6 O&amp;M Expense'!$L56</f>
        <v>-602222.2399999999</v>
      </c>
      <c r="N62" s="96" t="e">
        <f>-'Table C-6 O&amp;M Expense'!#REF!</f>
        <v>#REF!</v>
      </c>
      <c r="O62" s="26"/>
      <c r="P62" s="164" t="s">
        <v>203</v>
      </c>
      <c r="T62"/>
    </row>
    <row r="63" spans="2:20" ht="15">
      <c r="B63" s="7"/>
      <c r="C63" s="7" t="s">
        <v>27</v>
      </c>
      <c r="D63" s="7"/>
      <c r="E63" s="7"/>
      <c r="F63" s="7"/>
      <c r="G63" s="7"/>
      <c r="H63" s="7"/>
      <c r="I63" s="11"/>
      <c r="J63" s="11"/>
      <c r="K63" s="11"/>
      <c r="L63" s="11"/>
      <c r="M63" s="11"/>
      <c r="N63" s="11"/>
      <c r="O63" s="11"/>
      <c r="P63" s="11"/>
      <c r="T63"/>
    </row>
    <row r="64" spans="2:20" ht="15" hidden="1">
      <c r="B64" s="137">
        <v>18</v>
      </c>
      <c r="C64" s="387" t="s">
        <v>28</v>
      </c>
      <c r="D64" s="387"/>
      <c r="E64" s="387"/>
      <c r="F64" s="387"/>
      <c r="G64" s="387"/>
      <c r="H64" s="165">
        <v>41700</v>
      </c>
      <c r="I64" s="141">
        <v>100</v>
      </c>
      <c r="J64" s="141">
        <v>-700</v>
      </c>
      <c r="K64" s="141">
        <v>-2800</v>
      </c>
      <c r="L64" s="141">
        <v>-600</v>
      </c>
      <c r="M64" s="141">
        <v>-500</v>
      </c>
      <c r="N64" s="133">
        <v>7700</v>
      </c>
      <c r="O64" s="71"/>
      <c r="P64" s="112" t="s">
        <v>209</v>
      </c>
      <c r="T64"/>
    </row>
    <row r="65" spans="2:20" ht="15">
      <c r="B65" s="143" t="s">
        <v>144</v>
      </c>
      <c r="C65" s="394" t="s">
        <v>28</v>
      </c>
      <c r="D65" s="394"/>
      <c r="E65" s="394"/>
      <c r="F65" s="394"/>
      <c r="G65" s="394"/>
      <c r="H65" s="206">
        <v>-25000</v>
      </c>
      <c r="I65" s="206">
        <v>0</v>
      </c>
      <c r="J65" s="206">
        <v>28000</v>
      </c>
      <c r="K65" s="166">
        <f>K64</f>
        <v>-2800</v>
      </c>
      <c r="L65" s="166">
        <f>L64</f>
        <v>-600</v>
      </c>
      <c r="M65" s="166">
        <f>M64</f>
        <v>-500</v>
      </c>
      <c r="N65" s="167">
        <f>N64</f>
        <v>7700</v>
      </c>
      <c r="O65" s="157"/>
      <c r="P65" s="113" t="s">
        <v>153</v>
      </c>
      <c r="T65"/>
    </row>
    <row r="66" spans="2:20" ht="15" hidden="1">
      <c r="B66" s="137">
        <v>19</v>
      </c>
      <c r="C66" s="387" t="s">
        <v>29</v>
      </c>
      <c r="D66" s="387"/>
      <c r="E66" s="387"/>
      <c r="F66" s="387"/>
      <c r="G66" s="387"/>
      <c r="H66" s="141">
        <f aca="true" t="shared" si="1" ref="H66:N66">H57+H61+H64</f>
        <v>223657.71879026457</v>
      </c>
      <c r="I66" s="141">
        <f t="shared" si="1"/>
        <v>223683.03010166716</v>
      </c>
      <c r="J66" s="141">
        <f t="shared" si="1"/>
        <v>260916.50455078587</v>
      </c>
      <c r="K66" s="141">
        <f t="shared" si="1"/>
        <v>294723.42408031225</v>
      </c>
      <c r="L66" s="141">
        <f t="shared" si="1"/>
        <v>333907.03768472373</v>
      </c>
      <c r="M66" s="141">
        <f t="shared" si="1"/>
        <v>379171.9548880082</v>
      </c>
      <c r="N66" s="133" t="e">
        <f t="shared" si="1"/>
        <v>#REF!</v>
      </c>
      <c r="O66" s="139"/>
      <c r="P66" s="159" t="s">
        <v>330</v>
      </c>
      <c r="T66"/>
    </row>
    <row r="67" spans="2:20" ht="15">
      <c r="B67" s="143" t="s">
        <v>140</v>
      </c>
      <c r="C67" s="394" t="s">
        <v>29</v>
      </c>
      <c r="D67" s="394"/>
      <c r="E67" s="394"/>
      <c r="F67" s="394"/>
      <c r="G67" s="394"/>
      <c r="H67" s="206">
        <f aca="true" t="shared" si="2" ref="H67:M67">H$58+H$62+H$65</f>
        <v>225021.1739443806</v>
      </c>
      <c r="I67" s="206">
        <f t="shared" si="2"/>
        <v>219644.00636122224</v>
      </c>
      <c r="J67" s="206">
        <f t="shared" si="2"/>
        <v>245784.90637426113</v>
      </c>
      <c r="K67" s="142">
        <f t="shared" si="2"/>
        <v>271427.16874873906</v>
      </c>
      <c r="L67" s="142">
        <f t="shared" si="2"/>
        <v>312348.0937642418</v>
      </c>
      <c r="M67" s="142">
        <f t="shared" si="2"/>
        <v>357612.9794853076</v>
      </c>
      <c r="N67" s="96" t="e">
        <f>N58+N62+N65</f>
        <v>#REF!</v>
      </c>
      <c r="O67" s="26"/>
      <c r="P67" s="160" t="s">
        <v>331</v>
      </c>
      <c r="T67"/>
    </row>
    <row r="68" spans="2:20" ht="15">
      <c r="B68" s="7"/>
      <c r="C68" s="7" t="s">
        <v>30</v>
      </c>
      <c r="D68" s="7"/>
      <c r="E68" s="7"/>
      <c r="F68" s="7"/>
      <c r="G68" s="7"/>
      <c r="H68" s="7"/>
      <c r="I68" s="11"/>
      <c r="J68" s="11"/>
      <c r="K68" s="11"/>
      <c r="L68" s="11"/>
      <c r="M68" s="11"/>
      <c r="N68" s="11"/>
      <c r="O68" s="11"/>
      <c r="P68" s="11"/>
      <c r="T68"/>
    </row>
    <row r="69" spans="2:20" ht="15" hidden="1">
      <c r="B69" s="137">
        <v>20</v>
      </c>
      <c r="C69" s="387" t="s">
        <v>31</v>
      </c>
      <c r="D69" s="387"/>
      <c r="E69" s="387"/>
      <c r="F69" s="387"/>
      <c r="G69" s="387"/>
      <c r="H69" s="133">
        <f>-'C-7,8,9 CIP - Debt Service'!H180</f>
        <v>-175726.33482</v>
      </c>
      <c r="I69" s="133">
        <f>-'C-7,8,9 CIP - Debt Service'!I180</f>
        <v>-163516.36108</v>
      </c>
      <c r="J69" s="133">
        <f>-'C-7,8,9 CIP - Debt Service'!J180</f>
        <v>-164558.06848</v>
      </c>
      <c r="K69" s="133">
        <f>-'C-7,8,9 CIP - Debt Service'!K180</f>
        <v>-151301.75678</v>
      </c>
      <c r="L69" s="133">
        <f>-'C-7,8,9 CIP - Debt Service'!L180</f>
        <v>-151437.89408</v>
      </c>
      <c r="M69" s="133">
        <f>-'C-7,8,9 CIP - Debt Service'!M180</f>
        <v>-152438.80338</v>
      </c>
      <c r="N69" s="133">
        <f>-'C-7,8,9 CIP - Debt Service'!M180</f>
        <v>-152438.80338</v>
      </c>
      <c r="O69" s="139"/>
      <c r="P69" s="112" t="s">
        <v>227</v>
      </c>
      <c r="T69"/>
    </row>
    <row r="70" spans="2:20" ht="15">
      <c r="B70" s="143" t="s">
        <v>141</v>
      </c>
      <c r="C70" s="394" t="s">
        <v>31</v>
      </c>
      <c r="D70" s="394"/>
      <c r="E70" s="394"/>
      <c r="F70" s="394"/>
      <c r="G70" s="394"/>
      <c r="H70" s="206">
        <f>-'C-7,8,9 CIP - Debt Service'!H181</f>
        <v>-175726.33482</v>
      </c>
      <c r="I70" s="206">
        <f>-'C-7,8,9 CIP - Debt Service'!I181</f>
        <v>-163516.36108</v>
      </c>
      <c r="J70" s="206">
        <f>-'C-7,8,9 CIP - Debt Service'!J181</f>
        <v>-164558.06848</v>
      </c>
      <c r="K70" s="96">
        <f>-'C-7,8,9 CIP - Debt Service'!K181</f>
        <v>-151301.75678</v>
      </c>
      <c r="L70" s="96">
        <f>-'C-7,8,9 CIP - Debt Service'!L181</f>
        <v>-151437.89408</v>
      </c>
      <c r="M70" s="96">
        <f>-'C-7,8,9 CIP - Debt Service'!M181</f>
        <v>-152438.80338</v>
      </c>
      <c r="N70" s="96">
        <f>-'C-7,8,9 CIP - Debt Service'!M181</f>
        <v>-152438.80338</v>
      </c>
      <c r="O70" s="26"/>
      <c r="P70" s="114" t="s">
        <v>212</v>
      </c>
      <c r="T70"/>
    </row>
    <row r="71" spans="2:20" ht="15" hidden="1">
      <c r="B71" s="137">
        <v>21</v>
      </c>
      <c r="C71" s="387" t="s">
        <v>32</v>
      </c>
      <c r="D71" s="387"/>
      <c r="E71" s="387"/>
      <c r="F71" s="387"/>
      <c r="G71" s="387"/>
      <c r="H71" s="133">
        <f>-'C-7,8,9 CIP - Debt Service'!H202</f>
        <v>-10651.114710000002</v>
      </c>
      <c r="I71" s="133">
        <f>-'C-7,8,9 CIP - Debt Service'!I202</f>
        <v>-10884.51855375</v>
      </c>
      <c r="J71" s="133">
        <f>-'C-7,8,9 CIP - Debt Service'!J202</f>
        <v>-11067.068053750001</v>
      </c>
      <c r="K71" s="133">
        <f>-'C-7,8,9 CIP - Debt Service'!K202</f>
        <v>-14863.849371423297</v>
      </c>
      <c r="L71" s="133">
        <f>-'C-7,8,9 CIP - Debt Service'!L202</f>
        <v>-14863.849371423299</v>
      </c>
      <c r="M71" s="133">
        <f>-'C-7,8,9 CIP - Debt Service'!M202</f>
        <v>-15182.216561307281</v>
      </c>
      <c r="N71" s="133">
        <f>-'C-7,8,9 CIP - Debt Service'!M202</f>
        <v>-15182.216561307281</v>
      </c>
      <c r="O71" s="139"/>
      <c r="P71" s="112" t="s">
        <v>227</v>
      </c>
      <c r="T71"/>
    </row>
    <row r="72" spans="2:20" ht="15">
      <c r="B72" s="143" t="s">
        <v>142</v>
      </c>
      <c r="C72" s="394" t="s">
        <v>32</v>
      </c>
      <c r="D72" s="394"/>
      <c r="E72" s="394"/>
      <c r="F72" s="394"/>
      <c r="G72" s="394"/>
      <c r="H72" s="193">
        <f>-'C-7,8,9 CIP - Debt Service'!H203</f>
        <v>-10651.114710000002</v>
      </c>
      <c r="I72" s="193">
        <f>-'C-7,8,9 CIP - Debt Service'!I203</f>
        <v>-10884.51855375</v>
      </c>
      <c r="J72" s="193">
        <f>-'C-7,8,9 CIP - Debt Service'!J203</f>
        <v>-11067.068053750001</v>
      </c>
      <c r="K72" s="96">
        <f>-'C-7,8,9 CIP - Debt Service'!K203</f>
        <v>-14863.849371423297</v>
      </c>
      <c r="L72" s="96">
        <f>-'C-7,8,9 CIP - Debt Service'!L203</f>
        <v>-14863.849371423299</v>
      </c>
      <c r="M72" s="96">
        <f>-'C-7,8,9 CIP - Debt Service'!M203</f>
        <v>-15182.216561307281</v>
      </c>
      <c r="N72" s="96">
        <f>-'C-7,8,9 CIP - Debt Service'!M203</f>
        <v>-15182.216561307281</v>
      </c>
      <c r="O72" s="26"/>
      <c r="P72" s="114" t="s">
        <v>212</v>
      </c>
      <c r="T72"/>
    </row>
    <row r="73" spans="2:20" ht="15" hidden="1">
      <c r="B73" s="137">
        <v>22</v>
      </c>
      <c r="C73" s="387" t="s">
        <v>33</v>
      </c>
      <c r="D73" s="387"/>
      <c r="E73" s="387"/>
      <c r="F73" s="387"/>
      <c r="G73" s="387"/>
      <c r="H73" s="133">
        <f>-'C-7,8,9 CIP - Debt Service'!H196</f>
        <v>0</v>
      </c>
      <c r="I73" s="133">
        <f>-'C-7,8,9 CIP - Debt Service'!I196</f>
        <v>-10000</v>
      </c>
      <c r="J73" s="133">
        <f>-'C-7,8,9 CIP - Debt Service'!J196</f>
        <v>-37725.92356628677</v>
      </c>
      <c r="K73" s="133">
        <f>-'C-7,8,9 CIP - Debt Service'!K196</f>
        <v>-75392.56481927498</v>
      </c>
      <c r="L73" s="133">
        <f>-'C-7,8,9 CIP - Debt Service'!L196</f>
        <v>-107892.84758527117</v>
      </c>
      <c r="M73" s="133">
        <f>-'C-7,8,9 CIP - Debt Service'!M196</f>
        <v>-144284.07623778126</v>
      </c>
      <c r="N73" s="133">
        <f>-'C-7,8,9 CIP - Debt Service'!M196</f>
        <v>-144284.07623778126</v>
      </c>
      <c r="O73" s="139"/>
      <c r="P73" s="112" t="s">
        <v>227</v>
      </c>
      <c r="T73"/>
    </row>
    <row r="74" spans="2:20" ht="15">
      <c r="B74" s="143" t="s">
        <v>143</v>
      </c>
      <c r="C74" s="394" t="s">
        <v>33</v>
      </c>
      <c r="D74" s="394"/>
      <c r="E74" s="394"/>
      <c r="F74" s="394"/>
      <c r="G74" s="394"/>
      <c r="H74" s="193">
        <f>-'C-7,8,9 CIP - Debt Service'!H197</f>
        <v>0</v>
      </c>
      <c r="I74" s="193">
        <f>-'C-7,8,9 CIP - Debt Service'!I197</f>
        <v>-5960.976259555141</v>
      </c>
      <c r="J74" s="193">
        <f>-'C-7,8,9 CIP - Debt Service'!J197</f>
        <v>-24440.86782417301</v>
      </c>
      <c r="K74" s="96">
        <f>-'C-7,8,9 CIP - Debt Service'!K197</f>
        <v>-52096.30948770171</v>
      </c>
      <c r="L74" s="96">
        <f>-'C-7,8,9 CIP - Debt Service'!L197</f>
        <v>-86333.90366478913</v>
      </c>
      <c r="M74" s="96">
        <f>-'C-7,8,9 CIP - Debt Service'!M197</f>
        <v>-122725.10083508072</v>
      </c>
      <c r="N74" s="96">
        <f>-'C-7,8,9 CIP - Debt Service'!M197</f>
        <v>-122725.10083508072</v>
      </c>
      <c r="O74" s="26"/>
      <c r="P74" s="114" t="s">
        <v>180</v>
      </c>
      <c r="T74"/>
    </row>
    <row r="75" spans="2:20" ht="15" hidden="1">
      <c r="B75" s="137">
        <v>23</v>
      </c>
      <c r="C75" s="387" t="s">
        <v>265</v>
      </c>
      <c r="D75" s="387"/>
      <c r="E75" s="387"/>
      <c r="F75" s="387"/>
      <c r="G75" s="387"/>
      <c r="H75" s="133">
        <f>-'C-7,8,9 CIP - Debt Service'!H205</f>
        <v>0</v>
      </c>
      <c r="I75" s="133">
        <f>-'C-7,8,9 CIP - Debt Service'!I205</f>
        <v>-2000</v>
      </c>
      <c r="J75" s="133">
        <f>-'C-7,8,9 CIP - Debt Service'!J205</f>
        <v>-4000</v>
      </c>
      <c r="K75" s="133">
        <f>-'C-7,8,9 CIP - Debt Service'!K205</f>
        <v>-4000</v>
      </c>
      <c r="L75" s="133">
        <f>-'C-7,8,9 CIP - Debt Service'!L205</f>
        <v>-4000</v>
      </c>
      <c r="M75" s="133">
        <f>-'C-7,8,9 CIP - Debt Service'!M205</f>
        <v>-4000</v>
      </c>
      <c r="N75" s="133">
        <f>-'C-7,8,9 CIP - Debt Service'!M198</f>
        <v>0</v>
      </c>
      <c r="O75" s="139"/>
      <c r="P75" s="112" t="s">
        <v>227</v>
      </c>
      <c r="T75"/>
    </row>
    <row r="76" spans="2:20" ht="15">
      <c r="B76" s="143" t="s">
        <v>148</v>
      </c>
      <c r="C76" s="394" t="s">
        <v>265</v>
      </c>
      <c r="D76" s="394"/>
      <c r="E76" s="394"/>
      <c r="F76" s="394"/>
      <c r="G76" s="394"/>
      <c r="H76" s="186">
        <f>-'C-7,8,9 CIP - Debt Service'!H206</f>
        <v>0</v>
      </c>
      <c r="I76" s="186">
        <f>-'C-7,8,9 CIP - Debt Service'!I206</f>
        <v>-2000</v>
      </c>
      <c r="J76" s="186">
        <f>-'C-7,8,9 CIP - Debt Service'!J206</f>
        <v>-4000</v>
      </c>
      <c r="K76" s="96">
        <f>-'C-7,8,9 CIP - Debt Service'!K206</f>
        <v>-4000</v>
      </c>
      <c r="L76" s="96">
        <f>-'C-7,8,9 CIP - Debt Service'!L206</f>
        <v>-4000</v>
      </c>
      <c r="M76" s="96">
        <f>-'C-7,8,9 CIP - Debt Service'!M206</f>
        <v>-4000</v>
      </c>
      <c r="N76" s="96">
        <f>-'C-7,8,9 CIP - Debt Service'!M199</f>
        <v>-296722.87623778125</v>
      </c>
      <c r="O76" s="26"/>
      <c r="P76" s="114" t="s">
        <v>180</v>
      </c>
      <c r="T76"/>
    </row>
    <row r="77" spans="2:20" ht="2.25" customHeight="1">
      <c r="B77" s="179"/>
      <c r="C77" s="201"/>
      <c r="D77" s="201"/>
      <c r="E77" s="201"/>
      <c r="F77" s="201"/>
      <c r="G77" s="201"/>
      <c r="H77" s="201"/>
      <c r="I77" s="180"/>
      <c r="J77" s="180"/>
      <c r="K77" s="9"/>
      <c r="L77" s="9"/>
      <c r="M77" s="9"/>
      <c r="N77" s="9"/>
      <c r="O77" s="9"/>
      <c r="P77" s="9"/>
      <c r="T77"/>
    </row>
    <row r="78" spans="2:20" ht="15" hidden="1">
      <c r="B78" s="137">
        <v>24</v>
      </c>
      <c r="C78" s="387" t="s">
        <v>34</v>
      </c>
      <c r="D78" s="387"/>
      <c r="E78" s="387"/>
      <c r="F78" s="387"/>
      <c r="G78" s="387"/>
      <c r="H78" s="141">
        <f>H69+H71+H73+H75</f>
        <v>-186377.44952999998</v>
      </c>
      <c r="I78" s="141">
        <f aca="true" t="shared" si="3" ref="H78:M79">I69+I71+I73+I75</f>
        <v>-186400.87963375</v>
      </c>
      <c r="J78" s="141">
        <f>J69+J71+J73+J75</f>
        <v>-217351.06010003676</v>
      </c>
      <c r="K78" s="141">
        <f t="shared" si="3"/>
        <v>-245558.1709706983</v>
      </c>
      <c r="L78" s="141">
        <f t="shared" si="3"/>
        <v>-278194.5910366945</v>
      </c>
      <c r="M78" s="141">
        <f>M69+M71+M73+M75</f>
        <v>-315905.0961790886</v>
      </c>
      <c r="N78" s="133">
        <f>N69+N71+N73</f>
        <v>-311905.0961790886</v>
      </c>
      <c r="O78" s="139"/>
      <c r="P78" s="159" t="s">
        <v>328</v>
      </c>
      <c r="T78"/>
    </row>
    <row r="79" spans="2:20" ht="15">
      <c r="B79" s="143" t="s">
        <v>163</v>
      </c>
      <c r="C79" s="394" t="s">
        <v>34</v>
      </c>
      <c r="D79" s="394"/>
      <c r="E79" s="394"/>
      <c r="F79" s="394"/>
      <c r="G79" s="394"/>
      <c r="H79" s="206">
        <f t="shared" si="3"/>
        <v>-186377.44952999998</v>
      </c>
      <c r="I79" s="206">
        <f t="shared" si="3"/>
        <v>-182361.85589330515</v>
      </c>
      <c r="J79" s="206">
        <f t="shared" si="3"/>
        <v>-204066.004357923</v>
      </c>
      <c r="K79" s="142">
        <f t="shared" si="3"/>
        <v>-222261.915639125</v>
      </c>
      <c r="L79" s="142">
        <f t="shared" si="3"/>
        <v>-256635.64711621244</v>
      </c>
      <c r="M79" s="142">
        <f t="shared" si="3"/>
        <v>-294346.120776388</v>
      </c>
      <c r="N79" s="96">
        <f>N70+N72+N74</f>
        <v>-290346.120776388</v>
      </c>
      <c r="O79" s="26"/>
      <c r="P79" s="160" t="s">
        <v>329</v>
      </c>
      <c r="T79"/>
    </row>
    <row r="80" spans="2:20" ht="15" hidden="1">
      <c r="B80" s="137">
        <v>25</v>
      </c>
      <c r="C80" s="387" t="s">
        <v>325</v>
      </c>
      <c r="D80" s="387"/>
      <c r="E80" s="387"/>
      <c r="F80" s="387"/>
      <c r="G80" s="387"/>
      <c r="H80" s="168">
        <f>$H66/(-$H78)</f>
        <v>1.2000256434148908</v>
      </c>
      <c r="I80" s="168">
        <f>$I66/(-$I78)</f>
        <v>1.2000105929820235</v>
      </c>
      <c r="J80" s="168">
        <f>$J66/(-$J78)</f>
        <v>1.2004381502933454</v>
      </c>
      <c r="K80" s="168">
        <f>$K66/(-$K78)</f>
        <v>1.2002183552486254</v>
      </c>
      <c r="L80" s="168">
        <f>$L66/(-$L78)</f>
        <v>1.2002643057883202</v>
      </c>
      <c r="M80" s="168">
        <f>$M66/(-$M78)</f>
        <v>1.2002717255091486</v>
      </c>
      <c r="N80" s="168" t="e">
        <f>N66/(-N78)</f>
        <v>#REF!</v>
      </c>
      <c r="O80" s="139"/>
      <c r="P80" s="159" t="s">
        <v>326</v>
      </c>
      <c r="T80"/>
    </row>
    <row r="81" spans="2:20" ht="15">
      <c r="B81" s="143" t="s">
        <v>149</v>
      </c>
      <c r="C81" s="386" t="s">
        <v>430</v>
      </c>
      <c r="D81" s="386"/>
      <c r="E81" s="386"/>
      <c r="F81" s="386"/>
      <c r="G81" s="386"/>
      <c r="H81" s="208">
        <f>$H67/(-$H79)</f>
        <v>1.2073412020168266</v>
      </c>
      <c r="I81" s="208">
        <f>$I67/(-$I79)</f>
        <v>1.2044405080508165</v>
      </c>
      <c r="J81" s="208">
        <f>$J67/(-$J79)</f>
        <v>1.2044382754864205</v>
      </c>
      <c r="K81" s="169">
        <f>$K67/(-K79)</f>
        <v>1.2212041274288352</v>
      </c>
      <c r="L81" s="169">
        <f>$L67/(-L79)</f>
        <v>1.2170877166678293</v>
      </c>
      <c r="M81" s="169">
        <f>$M67/(-M79)</f>
        <v>1.2149403516582535</v>
      </c>
      <c r="N81" s="169" t="e">
        <f>N67/(-N79)</f>
        <v>#REF!</v>
      </c>
      <c r="O81" s="26"/>
      <c r="P81" s="162" t="s">
        <v>327</v>
      </c>
      <c r="T81"/>
    </row>
    <row r="82" spans="2:20" ht="15" hidden="1">
      <c r="B82" s="137">
        <v>26</v>
      </c>
      <c r="C82" s="387" t="s">
        <v>35</v>
      </c>
      <c r="D82" s="387"/>
      <c r="E82" s="387"/>
      <c r="F82" s="387"/>
      <c r="G82" s="387"/>
      <c r="H82" s="133">
        <v>0</v>
      </c>
      <c r="I82" s="133">
        <v>0</v>
      </c>
      <c r="J82" s="133">
        <v>0</v>
      </c>
      <c r="K82" s="133">
        <v>0</v>
      </c>
      <c r="L82" s="133">
        <v>0</v>
      </c>
      <c r="M82" s="133">
        <v>0</v>
      </c>
      <c r="N82" s="133">
        <v>0</v>
      </c>
      <c r="O82" s="71"/>
      <c r="P82" s="112" t="s">
        <v>209</v>
      </c>
      <c r="T82"/>
    </row>
    <row r="83" spans="2:20" ht="15">
      <c r="B83" s="143" t="s">
        <v>164</v>
      </c>
      <c r="C83" s="394" t="s">
        <v>35</v>
      </c>
      <c r="D83" s="394"/>
      <c r="E83" s="394"/>
      <c r="F83" s="394"/>
      <c r="G83" s="394"/>
      <c r="H83" s="193">
        <f>$H82</f>
        <v>0</v>
      </c>
      <c r="I83" s="193">
        <f>$I82</f>
        <v>0</v>
      </c>
      <c r="J83" s="193">
        <f>$J82</f>
        <v>0</v>
      </c>
      <c r="K83" s="96">
        <f>$K82</f>
        <v>0</v>
      </c>
      <c r="L83" s="96">
        <f>$L82</f>
        <v>0</v>
      </c>
      <c r="M83" s="96">
        <f>$M82</f>
        <v>0</v>
      </c>
      <c r="N83" s="96">
        <f>N82</f>
        <v>0</v>
      </c>
      <c r="O83" s="25"/>
      <c r="P83" s="114" t="s">
        <v>212</v>
      </c>
      <c r="T83"/>
    </row>
    <row r="84" spans="2:20" ht="15" hidden="1">
      <c r="B84" s="137">
        <v>27</v>
      </c>
      <c r="C84" s="387" t="s">
        <v>36</v>
      </c>
      <c r="D84" s="387"/>
      <c r="E84" s="387"/>
      <c r="F84" s="387"/>
      <c r="G84" s="387"/>
      <c r="H84" s="133">
        <v>0</v>
      </c>
      <c r="I84" s="133">
        <v>0</v>
      </c>
      <c r="J84" s="133">
        <v>0</v>
      </c>
      <c r="K84" s="133">
        <v>0</v>
      </c>
      <c r="L84" s="133">
        <v>0</v>
      </c>
      <c r="M84" s="133">
        <v>0</v>
      </c>
      <c r="N84" s="133">
        <v>0</v>
      </c>
      <c r="O84" s="139"/>
      <c r="P84" s="112" t="s">
        <v>209</v>
      </c>
      <c r="T84"/>
    </row>
    <row r="85" spans="2:20" ht="15">
      <c r="B85" s="143" t="s">
        <v>165</v>
      </c>
      <c r="C85" s="394" t="s">
        <v>36</v>
      </c>
      <c r="D85" s="394"/>
      <c r="E85" s="394"/>
      <c r="F85" s="394"/>
      <c r="G85" s="394"/>
      <c r="H85" s="186">
        <f>$H84</f>
        <v>0</v>
      </c>
      <c r="I85" s="186">
        <f>$I84</f>
        <v>0</v>
      </c>
      <c r="J85" s="186">
        <f>$J84</f>
        <v>0</v>
      </c>
      <c r="K85" s="96">
        <f>$K84</f>
        <v>0</v>
      </c>
      <c r="L85" s="96">
        <f>$L84</f>
        <v>0</v>
      </c>
      <c r="M85" s="96">
        <f>$M84</f>
        <v>0</v>
      </c>
      <c r="N85" s="96">
        <f>N84</f>
        <v>0</v>
      </c>
      <c r="O85" s="26"/>
      <c r="P85" s="114" t="s">
        <v>212</v>
      </c>
      <c r="T85"/>
    </row>
    <row r="86" spans="2:20" ht="2.25" customHeight="1">
      <c r="B86" s="179"/>
      <c r="C86" s="201"/>
      <c r="D86" s="201"/>
      <c r="E86" s="201"/>
      <c r="F86" s="201"/>
      <c r="G86" s="201"/>
      <c r="H86" s="201"/>
      <c r="I86" s="180"/>
      <c r="J86" s="180"/>
      <c r="K86" s="9"/>
      <c r="L86" s="9"/>
      <c r="M86" s="9"/>
      <c r="N86" s="9"/>
      <c r="O86" s="26"/>
      <c r="P86" s="26"/>
      <c r="T86"/>
    </row>
    <row r="87" spans="2:20" ht="15" hidden="1">
      <c r="B87" s="137">
        <v>28</v>
      </c>
      <c r="C87" s="387" t="s">
        <v>37</v>
      </c>
      <c r="D87" s="387"/>
      <c r="E87" s="387"/>
      <c r="F87" s="387"/>
      <c r="G87" s="387"/>
      <c r="H87" s="133">
        <f>$H78+$H82+$H84</f>
        <v>-186377.44952999998</v>
      </c>
      <c r="I87" s="133">
        <f>$I78+$I82+$I84</f>
        <v>-186400.87963375</v>
      </c>
      <c r="J87" s="133">
        <f>$J78+$J82+$J84</f>
        <v>-217351.06010003676</v>
      </c>
      <c r="K87" s="133">
        <f>$K78+$K82+$K84</f>
        <v>-245558.1709706983</v>
      </c>
      <c r="L87" s="133">
        <f>$L78+$L82+$L84</f>
        <v>-278194.5910366945</v>
      </c>
      <c r="M87" s="133">
        <f>$M78+$M82+$M84</f>
        <v>-315905.0961790886</v>
      </c>
      <c r="N87" s="133">
        <f>N78+N82+N84</f>
        <v>-311905.0961790886</v>
      </c>
      <c r="O87" s="139"/>
      <c r="P87" s="159" t="s">
        <v>332</v>
      </c>
      <c r="T87"/>
    </row>
    <row r="88" spans="2:20" ht="15">
      <c r="B88" s="143" t="s">
        <v>176</v>
      </c>
      <c r="C88" s="394" t="s">
        <v>37</v>
      </c>
      <c r="D88" s="394"/>
      <c r="E88" s="394"/>
      <c r="F88" s="394"/>
      <c r="G88" s="394"/>
      <c r="H88" s="206">
        <f>$H79+$H83+$H85</f>
        <v>-186377.44952999998</v>
      </c>
      <c r="I88" s="206">
        <f>$I79+$I83+$I85</f>
        <v>-182361.85589330515</v>
      </c>
      <c r="J88" s="206">
        <f>$J79+$J83+$J85</f>
        <v>-204066.004357923</v>
      </c>
      <c r="K88" s="96">
        <f>$K79+$K83+$K85</f>
        <v>-222261.915639125</v>
      </c>
      <c r="L88" s="96">
        <f>$L79+$L83+$L85</f>
        <v>-256635.64711621244</v>
      </c>
      <c r="M88" s="96">
        <f>$M79+$M83+$M85</f>
        <v>-294346.120776388</v>
      </c>
      <c r="N88" s="96">
        <f>N79+N83+N85</f>
        <v>-290346.120776388</v>
      </c>
      <c r="O88" s="26"/>
      <c r="P88" s="160" t="s">
        <v>333</v>
      </c>
      <c r="T88"/>
    </row>
    <row r="89" spans="2:20" ht="15" hidden="1">
      <c r="B89" s="137">
        <v>29</v>
      </c>
      <c r="C89" s="387" t="s">
        <v>38</v>
      </c>
      <c r="D89" s="387"/>
      <c r="E89" s="387"/>
      <c r="F89" s="387"/>
      <c r="G89" s="387"/>
      <c r="H89" s="133">
        <f>-'C-7,8,9 CIP - Debt Service'!H105</f>
        <v>-27832.76</v>
      </c>
      <c r="I89" s="133">
        <f>-'C-7,8,9 CIP - Debt Service'!I105</f>
        <v>-29447.060080000003</v>
      </c>
      <c r="J89" s="133">
        <f>-'C-7,8,9 CIP - Debt Service'!J105</f>
        <v>-31154.989564640004</v>
      </c>
      <c r="K89" s="133">
        <f>-'C-7,8,9 CIP - Debt Service'!K105</f>
        <v>-32961.978959389126</v>
      </c>
      <c r="L89" s="133">
        <f>-'C-7,8,9 CIP - Debt Service'!L105</f>
        <v>-34873.7737390337</v>
      </c>
      <c r="M89" s="133">
        <f>-'C-7,8,9 CIP - Debt Service'!M105</f>
        <v>-36896.45261589765</v>
      </c>
      <c r="N89" s="133">
        <f>-'C-7,8,9 CIP - Debt Service'!M103</f>
        <v>-2811</v>
      </c>
      <c r="O89" s="139"/>
      <c r="P89" s="112" t="s">
        <v>227</v>
      </c>
      <c r="T89"/>
    </row>
    <row r="90" spans="2:20" ht="15">
      <c r="B90" s="143" t="s">
        <v>167</v>
      </c>
      <c r="C90" s="394" t="s">
        <v>38</v>
      </c>
      <c r="D90" s="394"/>
      <c r="E90" s="394"/>
      <c r="F90" s="394"/>
      <c r="G90" s="394"/>
      <c r="H90" s="193">
        <f>-'C-7,8,9 CIP - Debt Service'!H106</f>
        <v>-27832.759999999995</v>
      </c>
      <c r="I90" s="193">
        <f>-'C-7,8,9 CIP - Debt Service'!I106</f>
        <v>-29447.060080000003</v>
      </c>
      <c r="J90" s="193">
        <f>-'C-7,8,9 CIP - Debt Service'!J106</f>
        <v>-29308.447130228982</v>
      </c>
      <c r="K90" s="96">
        <f>-'C-7,8,9 CIP - Debt Service'!K106</f>
        <v>-32961.978959389126</v>
      </c>
      <c r="L90" s="96">
        <f>-'C-7,8,9 CIP - Debt Service'!L106</f>
        <v>-34873.7737390337</v>
      </c>
      <c r="M90" s="96">
        <f>-'C-7,8,9 CIP - Debt Service'!M106</f>
        <v>-36896.45261589765</v>
      </c>
      <c r="N90" s="96">
        <f>-'C-7,8,9 CIP - Debt Service'!M104</f>
        <v>-2811</v>
      </c>
      <c r="O90" s="26"/>
      <c r="P90" s="114" t="s">
        <v>370</v>
      </c>
      <c r="T90"/>
    </row>
    <row r="91" spans="2:20" ht="15" hidden="1">
      <c r="B91" s="137">
        <v>30</v>
      </c>
      <c r="C91" s="387" t="s">
        <v>336</v>
      </c>
      <c r="D91" s="387"/>
      <c r="E91" s="387"/>
      <c r="F91" s="387"/>
      <c r="G91" s="387"/>
      <c r="H91" s="168">
        <f>-$H66/($H78+$H82+$H89)</f>
        <v>1.0441039168067359</v>
      </c>
      <c r="I91" s="168">
        <f>-$I66/($I78+$I82+$I89)</f>
        <v>1.0362991205675058</v>
      </c>
      <c r="J91" s="168">
        <f>-$J66/($J78+$J82+$J89)</f>
        <v>1.049940252572745</v>
      </c>
      <c r="K91" s="168">
        <f>-$K66/($K78+$K82+$K89)</f>
        <v>1.0581763084440823</v>
      </c>
      <c r="L91" s="168">
        <f>-$L66/($L78+$L82+$L89)</f>
        <v>1.0665626912636914</v>
      </c>
      <c r="M91" s="168">
        <f>-$M66/($M78+$M82+$M89)</f>
        <v>1.074745720882155</v>
      </c>
      <c r="N91" s="168" t="e">
        <f>-N66/(N78+N82+N89)</f>
        <v>#REF!</v>
      </c>
      <c r="O91" s="139"/>
      <c r="P91" s="159" t="s">
        <v>334</v>
      </c>
      <c r="T91"/>
    </row>
    <row r="92" spans="2:20" ht="15">
      <c r="B92" s="143" t="s">
        <v>166</v>
      </c>
      <c r="C92" s="386" t="s">
        <v>395</v>
      </c>
      <c r="D92" s="386"/>
      <c r="E92" s="386"/>
      <c r="F92" s="386"/>
      <c r="G92" s="386"/>
      <c r="H92" s="208">
        <f>-$H67/($H79+$H83+$H90)</f>
        <v>1.050468950280666</v>
      </c>
      <c r="I92" s="208">
        <f>-$I67/($I79+$I83+$I90)</f>
        <v>1.0369913152707158</v>
      </c>
      <c r="J92" s="208">
        <f>-$J67/($J79+$J83+$J90)</f>
        <v>1.0531782926835898</v>
      </c>
      <c r="K92" s="169">
        <f>-$K67/($K79+$K83+$K90)</f>
        <v>1.063486509269494</v>
      </c>
      <c r="L92" s="169">
        <f>-$L67/($L79+$L83+$L90)</f>
        <v>1.0714854183712417</v>
      </c>
      <c r="M92" s="169">
        <f>-$M67/($M79+$M83+$M90)</f>
        <v>1.0796105579755653</v>
      </c>
      <c r="N92" s="169" t="e">
        <f>-N67/(N79+N83+N90)</f>
        <v>#REF!</v>
      </c>
      <c r="O92" s="26"/>
      <c r="P92" s="162" t="s">
        <v>335</v>
      </c>
      <c r="T92"/>
    </row>
    <row r="93" spans="2:20" ht="15" hidden="1">
      <c r="B93" s="396" t="s">
        <v>413</v>
      </c>
      <c r="C93" s="396"/>
      <c r="D93" s="396"/>
      <c r="E93" s="396"/>
      <c r="F93" s="396"/>
      <c r="G93" s="396"/>
      <c r="H93" s="396"/>
      <c r="I93" s="396"/>
      <c r="J93" s="396"/>
      <c r="K93" s="396"/>
      <c r="L93" s="396"/>
      <c r="M93" s="396"/>
      <c r="N93" s="396"/>
      <c r="O93" s="396"/>
      <c r="P93" s="396"/>
      <c r="T93"/>
    </row>
    <row r="94" spans="2:20" ht="15" hidden="1">
      <c r="B94" s="396"/>
      <c r="C94" s="396"/>
      <c r="D94" s="396"/>
      <c r="E94" s="396"/>
      <c r="F94" s="396"/>
      <c r="G94" s="396"/>
      <c r="H94" s="396"/>
      <c r="I94" s="396"/>
      <c r="J94" s="396"/>
      <c r="K94" s="396"/>
      <c r="L94" s="396"/>
      <c r="M94" s="396"/>
      <c r="N94" s="396"/>
      <c r="O94" s="396"/>
      <c r="P94" s="396"/>
      <c r="T94"/>
    </row>
    <row r="95" spans="2:20" ht="15" hidden="1">
      <c r="B95" s="396"/>
      <c r="C95" s="396"/>
      <c r="D95" s="396"/>
      <c r="E95" s="396"/>
      <c r="F95" s="396"/>
      <c r="G95" s="396"/>
      <c r="H95" s="396"/>
      <c r="I95" s="396"/>
      <c r="J95" s="396"/>
      <c r="K95" s="396"/>
      <c r="L95" s="396"/>
      <c r="M95" s="396"/>
      <c r="N95" s="396"/>
      <c r="O95" s="396"/>
      <c r="P95" s="396"/>
      <c r="T95"/>
    </row>
    <row r="96" spans="2:20" ht="15" hidden="1">
      <c r="B96" s="396"/>
      <c r="C96" s="396"/>
      <c r="D96" s="396"/>
      <c r="E96" s="396"/>
      <c r="F96" s="396"/>
      <c r="G96" s="396"/>
      <c r="H96" s="396"/>
      <c r="I96" s="396"/>
      <c r="J96" s="396"/>
      <c r="K96" s="396"/>
      <c r="L96" s="396"/>
      <c r="M96" s="396"/>
      <c r="N96" s="396"/>
      <c r="O96" s="396"/>
      <c r="P96" s="396"/>
      <c r="T96"/>
    </row>
    <row r="97" spans="2:20" ht="15.75" customHeight="1">
      <c r="B97" s="7"/>
      <c r="C97" s="31" t="s">
        <v>39</v>
      </c>
      <c r="D97" s="31"/>
      <c r="E97" s="31"/>
      <c r="F97" s="31"/>
      <c r="G97" s="31"/>
      <c r="H97" s="31"/>
      <c r="I97" s="11"/>
      <c r="J97" s="11"/>
      <c r="K97" s="11"/>
      <c r="L97" s="11"/>
      <c r="M97" s="11"/>
      <c r="N97" s="11"/>
      <c r="O97" s="11"/>
      <c r="P97" s="11"/>
      <c r="T97"/>
    </row>
    <row r="98" spans="2:20" ht="15" hidden="1">
      <c r="B98" s="137">
        <v>31</v>
      </c>
      <c r="C98" s="387" t="s">
        <v>40</v>
      </c>
      <c r="D98" s="387"/>
      <c r="E98" s="387"/>
      <c r="F98" s="387"/>
      <c r="G98" s="387"/>
      <c r="H98" s="165">
        <v>16261.130770000003</v>
      </c>
      <c r="I98" s="133">
        <f aca="true" t="shared" si="4" ref="I98:N98">H121</f>
        <v>15064.48958571093</v>
      </c>
      <c r="J98" s="133">
        <f t="shared" si="4"/>
        <v>15049.40300254966</v>
      </c>
      <c r="K98" s="133">
        <f t="shared" si="4"/>
        <v>15009.40580183944</v>
      </c>
      <c r="L98" s="133">
        <f t="shared" si="4"/>
        <v>15062.294785367103</v>
      </c>
      <c r="M98" s="133">
        <f t="shared" si="4"/>
        <v>15050.785824667142</v>
      </c>
      <c r="N98" s="133">
        <f t="shared" si="4"/>
        <v>15071.048763383615</v>
      </c>
      <c r="O98" s="139"/>
      <c r="P98" s="112" t="s">
        <v>371</v>
      </c>
      <c r="T98"/>
    </row>
    <row r="99" spans="2:20" ht="15">
      <c r="B99" s="143" t="s">
        <v>168</v>
      </c>
      <c r="C99" s="386" t="s">
        <v>40</v>
      </c>
      <c r="D99" s="386"/>
      <c r="E99" s="386"/>
      <c r="F99" s="386"/>
      <c r="G99" s="386"/>
      <c r="H99" s="206">
        <f>H98</f>
        <v>16261.130770000003</v>
      </c>
      <c r="I99" s="206">
        <f>H122</f>
        <v>15064.48958571093</v>
      </c>
      <c r="J99" s="206">
        <f>$I122</f>
        <v>15049.40300254966</v>
      </c>
      <c r="K99" s="96">
        <f>$J122</f>
        <v>15009.40580183944</v>
      </c>
      <c r="L99" s="96">
        <f>$K122</f>
        <v>15062.294785367103</v>
      </c>
      <c r="M99" s="96">
        <f>$L122</f>
        <v>15050.785824667142</v>
      </c>
      <c r="N99" s="96">
        <f>M122</f>
        <v>15071.048763383615</v>
      </c>
      <c r="O99" s="26"/>
      <c r="P99" s="114" t="s">
        <v>371</v>
      </c>
      <c r="T99"/>
    </row>
    <row r="100" spans="2:20" ht="15" hidden="1">
      <c r="B100" s="137">
        <v>32</v>
      </c>
      <c r="C100" s="387" t="s">
        <v>41</v>
      </c>
      <c r="D100" s="387"/>
      <c r="E100" s="387"/>
      <c r="F100" s="387"/>
      <c r="G100" s="387"/>
      <c r="H100" s="165">
        <v>155.84887547759197</v>
      </c>
      <c r="I100" s="133">
        <v>149.8203790859866</v>
      </c>
      <c r="J100" s="133">
        <v>149.54628161090523</v>
      </c>
      <c r="K100" s="133">
        <v>149.61034066702751</v>
      </c>
      <c r="L100" s="133">
        <v>149.81615450947447</v>
      </c>
      <c r="M100" s="133">
        <v>149.85971245237027</v>
      </c>
      <c r="N100" s="133">
        <v>149.3035852074725</v>
      </c>
      <c r="O100" s="139"/>
      <c r="P100" s="112" t="s">
        <v>209</v>
      </c>
      <c r="T100"/>
    </row>
    <row r="101" spans="2:20" ht="15" hidden="1">
      <c r="B101" s="137" t="s">
        <v>228</v>
      </c>
      <c r="C101" s="387" t="s">
        <v>42</v>
      </c>
      <c r="D101" s="387"/>
      <c r="E101" s="387"/>
      <c r="F101" s="387"/>
      <c r="G101" s="387"/>
      <c r="H101" s="138"/>
      <c r="I101" s="133"/>
      <c r="J101" s="133"/>
      <c r="K101" s="133"/>
      <c r="L101" s="133"/>
      <c r="M101" s="133"/>
      <c r="N101" s="133"/>
      <c r="O101" s="139"/>
      <c r="P101" s="112" t="s">
        <v>372</v>
      </c>
      <c r="T101"/>
    </row>
    <row r="102" spans="2:20" ht="15">
      <c r="B102" s="143" t="s">
        <v>169</v>
      </c>
      <c r="C102" s="394" t="s">
        <v>41</v>
      </c>
      <c r="D102" s="394"/>
      <c r="E102" s="394"/>
      <c r="F102" s="394"/>
      <c r="G102" s="394"/>
      <c r="H102" s="210">
        <f aca="true" t="shared" si="5" ref="H102:N102">H100</f>
        <v>155.84887547759197</v>
      </c>
      <c r="I102" s="193">
        <f t="shared" si="5"/>
        <v>149.8203790859866</v>
      </c>
      <c r="J102" s="193">
        <f>J100</f>
        <v>149.54628161090523</v>
      </c>
      <c r="K102" s="96">
        <f t="shared" si="5"/>
        <v>149.61034066702751</v>
      </c>
      <c r="L102" s="96">
        <f t="shared" si="5"/>
        <v>149.81615450947447</v>
      </c>
      <c r="M102" s="96">
        <f t="shared" si="5"/>
        <v>149.85971245237027</v>
      </c>
      <c r="N102" s="96">
        <f t="shared" si="5"/>
        <v>149.3035852074725</v>
      </c>
      <c r="O102" s="120"/>
      <c r="P102" s="160" t="s">
        <v>341</v>
      </c>
      <c r="S102" s="79"/>
      <c r="T102"/>
    </row>
    <row r="103" spans="2:20" ht="15">
      <c r="B103" s="143" t="s">
        <v>229</v>
      </c>
      <c r="C103" s="394" t="s">
        <v>42</v>
      </c>
      <c r="D103" s="394"/>
      <c r="E103" s="394"/>
      <c r="F103" s="394"/>
      <c r="G103" s="394"/>
      <c r="H103" s="211"/>
      <c r="I103" s="193"/>
      <c r="J103" s="193"/>
      <c r="K103" s="96"/>
      <c r="L103" s="96"/>
      <c r="M103" s="96"/>
      <c r="N103" s="96"/>
      <c r="O103" s="26"/>
      <c r="P103" s="160" t="s">
        <v>373</v>
      </c>
      <c r="S103" s="79"/>
      <c r="T103"/>
    </row>
    <row r="104" spans="2:20" ht="15" hidden="1">
      <c r="B104" s="137">
        <v>33</v>
      </c>
      <c r="C104" s="387" t="s">
        <v>43</v>
      </c>
      <c r="D104" s="387"/>
      <c r="E104" s="387"/>
      <c r="F104" s="387"/>
      <c r="G104" s="387"/>
      <c r="H104" s="133">
        <f>$H66+$H87+$H89</f>
        <v>9447.509260264585</v>
      </c>
      <c r="I104" s="133">
        <f>$I66+$I87+$I89</f>
        <v>7835.090387917146</v>
      </c>
      <c r="J104" s="133">
        <f>$J66+$J87+$J89</f>
        <v>12410.45488610911</v>
      </c>
      <c r="K104" s="141">
        <f>$K66+$K87+$K89</f>
        <v>16203.274150224832</v>
      </c>
      <c r="L104" s="141">
        <f>$L66+$L87+$L89</f>
        <v>20838.672908995562</v>
      </c>
      <c r="M104" s="141">
        <f>$M66+$M87+$M89</f>
        <v>26370.406093021957</v>
      </c>
      <c r="N104" s="133" t="e">
        <f>N66+N87+N89</f>
        <v>#REF!</v>
      </c>
      <c r="O104" s="139"/>
      <c r="P104" s="112" t="s">
        <v>204</v>
      </c>
      <c r="T104"/>
    </row>
    <row r="105" spans="2:20" ht="15">
      <c r="B105" s="143" t="s">
        <v>170</v>
      </c>
      <c r="C105" s="386" t="s">
        <v>43</v>
      </c>
      <c r="D105" s="386"/>
      <c r="E105" s="386"/>
      <c r="F105" s="386"/>
      <c r="G105" s="386"/>
      <c r="H105" s="193">
        <f>$H104</f>
        <v>9447.509260264585</v>
      </c>
      <c r="I105" s="193">
        <f>$I104</f>
        <v>7835.090387917146</v>
      </c>
      <c r="J105" s="193">
        <f>$J104</f>
        <v>12410.45488610911</v>
      </c>
      <c r="K105" s="142">
        <f>$K104</f>
        <v>16203.274150224832</v>
      </c>
      <c r="L105" s="142">
        <f>$L104</f>
        <v>20838.672908995562</v>
      </c>
      <c r="M105" s="142">
        <f>$M104</f>
        <v>26370.406093021957</v>
      </c>
      <c r="N105" s="96" t="e">
        <f>N104</f>
        <v>#REF!</v>
      </c>
      <c r="O105" s="26"/>
      <c r="P105" s="114" t="s">
        <v>212</v>
      </c>
      <c r="S105" s="78"/>
      <c r="T105"/>
    </row>
    <row r="106" spans="2:20" ht="15" hidden="1">
      <c r="B106" s="137">
        <v>34</v>
      </c>
      <c r="C106" s="387" t="s">
        <v>323</v>
      </c>
      <c r="D106" s="387"/>
      <c r="E106" s="387"/>
      <c r="F106" s="387"/>
      <c r="G106" s="387"/>
      <c r="H106" s="212">
        <v>1855.2906799687498</v>
      </c>
      <c r="I106" s="133">
        <v>1847.1726498356006</v>
      </c>
      <c r="J106" s="133">
        <v>2076.3116315697616</v>
      </c>
      <c r="K106" s="141">
        <v>2413.124492635804</v>
      </c>
      <c r="L106" s="141">
        <v>2755.801975795002</v>
      </c>
      <c r="M106" s="141">
        <v>3103.737133242148</v>
      </c>
      <c r="N106" s="133">
        <v>2976.522402485941</v>
      </c>
      <c r="O106" s="139"/>
      <c r="P106" s="112" t="s">
        <v>209</v>
      </c>
      <c r="T106"/>
    </row>
    <row r="107" spans="2:20" ht="15" hidden="1">
      <c r="B107" s="137" t="s">
        <v>312</v>
      </c>
      <c r="C107" s="387" t="s">
        <v>44</v>
      </c>
      <c r="D107" s="387"/>
      <c r="E107" s="387"/>
      <c r="F107" s="387"/>
      <c r="G107" s="387"/>
      <c r="H107" s="203"/>
      <c r="I107" s="133"/>
      <c r="J107" s="133"/>
      <c r="K107" s="141"/>
      <c r="L107" s="141"/>
      <c r="M107" s="141"/>
      <c r="N107" s="133"/>
      <c r="O107" s="139"/>
      <c r="P107" s="139"/>
      <c r="T107"/>
    </row>
    <row r="108" spans="2:20" ht="15">
      <c r="B108" s="143" t="s">
        <v>171</v>
      </c>
      <c r="C108" s="394" t="s">
        <v>466</v>
      </c>
      <c r="D108" s="394"/>
      <c r="E108" s="394"/>
      <c r="F108" s="394"/>
      <c r="G108" s="394"/>
      <c r="H108" s="193">
        <f aca="true" t="shared" si="6" ref="H108:N108">H106</f>
        <v>1855.2906799687498</v>
      </c>
      <c r="I108" s="193">
        <f t="shared" si="6"/>
        <v>1847.1726498356006</v>
      </c>
      <c r="J108" s="193">
        <f t="shared" si="6"/>
        <v>2076.3116315697616</v>
      </c>
      <c r="K108" s="191">
        <f t="shared" si="6"/>
        <v>2413.124492635804</v>
      </c>
      <c r="L108" s="191">
        <f t="shared" si="6"/>
        <v>2755.801975795002</v>
      </c>
      <c r="M108" s="191">
        <f t="shared" si="6"/>
        <v>3103.737133242148</v>
      </c>
      <c r="N108" s="193">
        <f t="shared" si="6"/>
        <v>2976.522402485941</v>
      </c>
      <c r="O108" s="209"/>
      <c r="P108" s="160" t="s">
        <v>374</v>
      </c>
      <c r="S108" s="79"/>
      <c r="T108"/>
    </row>
    <row r="109" spans="2:20" ht="15">
      <c r="B109" s="143" t="s">
        <v>313</v>
      </c>
      <c r="C109" s="386" t="s">
        <v>44</v>
      </c>
      <c r="D109" s="386"/>
      <c r="E109" s="386"/>
      <c r="F109" s="386"/>
      <c r="G109" s="386"/>
      <c r="H109" s="126"/>
      <c r="I109" s="193"/>
      <c r="J109" s="193"/>
      <c r="K109" s="193"/>
      <c r="L109" s="193"/>
      <c r="M109" s="193"/>
      <c r="N109" s="193"/>
      <c r="O109" s="199"/>
      <c r="P109" s="199"/>
      <c r="S109" s="79"/>
      <c r="T109"/>
    </row>
    <row r="110" spans="2:20" ht="15" hidden="1">
      <c r="B110" s="137">
        <v>35</v>
      </c>
      <c r="C110" s="387" t="s">
        <v>45</v>
      </c>
      <c r="D110" s="387"/>
      <c r="E110" s="387"/>
      <c r="F110" s="387"/>
      <c r="G110" s="387"/>
      <c r="H110" s="170">
        <f>-'C-7,8,9 CIP - Debt Service'!H107</f>
        <v>-10800</v>
      </c>
      <c r="I110" s="133">
        <f>-'C-7,8,9 CIP - Debt Service'!I107</f>
        <v>-8000</v>
      </c>
      <c r="J110" s="133">
        <f>-'C-7,8,9 CIP - Debt Service'!J107</f>
        <v>-12599.999999999998</v>
      </c>
      <c r="K110" s="133">
        <f>-'C-7,8,9 CIP - Debt Service'!K107</f>
        <v>-16300.000000000002</v>
      </c>
      <c r="L110" s="133">
        <f>-'C-7,8,9 CIP - Debt Service'!L107</f>
        <v>-21000</v>
      </c>
      <c r="M110" s="133">
        <f>-'C-7,8,9 CIP - Debt Service'!M107</f>
        <v>-26500</v>
      </c>
      <c r="N110" s="133">
        <f>-'C-7,8,9 CIP - Debt Service'!M107</f>
        <v>-26500</v>
      </c>
      <c r="O110" s="196"/>
      <c r="P110" s="159" t="s">
        <v>180</v>
      </c>
      <c r="T110"/>
    </row>
    <row r="111" spans="2:20" ht="15" hidden="1">
      <c r="B111" s="395" t="s">
        <v>428</v>
      </c>
      <c r="C111" s="395"/>
      <c r="D111" s="395"/>
      <c r="E111" s="395"/>
      <c r="F111" s="395"/>
      <c r="G111" s="395"/>
      <c r="H111" s="395"/>
      <c r="I111" s="395"/>
      <c r="J111" s="395"/>
      <c r="K111" s="395"/>
      <c r="L111" s="395"/>
      <c r="M111" s="395"/>
      <c r="N111" s="395"/>
      <c r="O111" s="395"/>
      <c r="P111" s="395"/>
      <c r="T111"/>
    </row>
    <row r="112" spans="2:20" ht="15" hidden="1">
      <c r="B112" s="395"/>
      <c r="C112" s="395"/>
      <c r="D112" s="395"/>
      <c r="E112" s="395"/>
      <c r="F112" s="395"/>
      <c r="G112" s="395"/>
      <c r="H112" s="395"/>
      <c r="I112" s="395"/>
      <c r="J112" s="395"/>
      <c r="K112" s="395"/>
      <c r="L112" s="395"/>
      <c r="M112" s="395"/>
      <c r="N112" s="395"/>
      <c r="O112" s="395"/>
      <c r="P112" s="395"/>
      <c r="T112"/>
    </row>
    <row r="113" spans="2:20" ht="15" hidden="1">
      <c r="B113" s="395"/>
      <c r="C113" s="395"/>
      <c r="D113" s="395"/>
      <c r="E113" s="395"/>
      <c r="F113" s="395"/>
      <c r="G113" s="395"/>
      <c r="H113" s="395"/>
      <c r="I113" s="395"/>
      <c r="J113" s="395"/>
      <c r="K113" s="395"/>
      <c r="L113" s="395"/>
      <c r="M113" s="395"/>
      <c r="N113" s="395"/>
      <c r="O113" s="395"/>
      <c r="P113" s="395"/>
      <c r="T113"/>
    </row>
    <row r="114" spans="2:20" ht="15" hidden="1">
      <c r="B114" s="395"/>
      <c r="C114" s="395"/>
      <c r="D114" s="395"/>
      <c r="E114" s="395"/>
      <c r="F114" s="395"/>
      <c r="G114" s="395"/>
      <c r="H114" s="395"/>
      <c r="I114" s="395"/>
      <c r="J114" s="395"/>
      <c r="K114" s="395"/>
      <c r="L114" s="395"/>
      <c r="M114" s="395"/>
      <c r="N114" s="395"/>
      <c r="O114" s="395"/>
      <c r="P114" s="395"/>
      <c r="T114"/>
    </row>
    <row r="115" spans="2:20" ht="15">
      <c r="B115" s="143" t="s">
        <v>172</v>
      </c>
      <c r="C115" s="394" t="s">
        <v>45</v>
      </c>
      <c r="D115" s="394"/>
      <c r="E115" s="394"/>
      <c r="F115" s="394"/>
      <c r="G115" s="394"/>
      <c r="H115" s="193">
        <f>-'C-7,8,9 CIP - Debt Service'!H108</f>
        <v>-10800</v>
      </c>
      <c r="I115" s="193">
        <f>-'C-7,8,9 CIP - Debt Service'!I108</f>
        <v>-8000</v>
      </c>
      <c r="J115" s="193">
        <f>-'C-7,8,9 CIP - Debt Service'!J108</f>
        <v>-12599.999999999998</v>
      </c>
      <c r="K115" s="193">
        <f>-'C-7,8,9 CIP - Debt Service'!K108</f>
        <v>-16300.000000000002</v>
      </c>
      <c r="L115" s="193">
        <f>-'C-7,8,9 CIP - Debt Service'!L108</f>
        <v>-21000</v>
      </c>
      <c r="M115" s="193">
        <f>-'C-7,8,9 CIP - Debt Service'!M108</f>
        <v>-26500</v>
      </c>
      <c r="N115" s="193">
        <f>-'C-7,8,9 CIP - Debt Service'!M108</f>
        <v>-26500</v>
      </c>
      <c r="O115" s="199"/>
      <c r="P115" s="160" t="s">
        <v>180</v>
      </c>
      <c r="T115"/>
    </row>
    <row r="116" spans="2:20" ht="15" hidden="1">
      <c r="B116" s="137">
        <v>36</v>
      </c>
      <c r="C116" s="387" t="s">
        <v>46</v>
      </c>
      <c r="D116" s="387"/>
      <c r="E116" s="387"/>
      <c r="F116" s="387"/>
      <c r="G116" s="387"/>
      <c r="H116" s="133">
        <f aca="true" t="shared" si="7" ref="H116:M116">ROUND(-H106,2)</f>
        <v>-1855.29</v>
      </c>
      <c r="I116" s="133">
        <f t="shared" si="7"/>
        <v>-1847.17</v>
      </c>
      <c r="J116" s="133">
        <f>ROUND(-J106,2)</f>
        <v>-2076.31</v>
      </c>
      <c r="K116" s="141">
        <f>ROUND(-K106,2)</f>
        <v>-2413.12</v>
      </c>
      <c r="L116" s="141">
        <f t="shared" si="7"/>
        <v>-2755.8</v>
      </c>
      <c r="M116" s="141">
        <f t="shared" si="7"/>
        <v>-3103.74</v>
      </c>
      <c r="N116" s="133">
        <f>-N106</f>
        <v>-2976.522402485941</v>
      </c>
      <c r="O116" s="196"/>
      <c r="P116" s="159" t="s">
        <v>342</v>
      </c>
      <c r="T116"/>
    </row>
    <row r="117" spans="2:20" ht="15">
      <c r="B117" s="143" t="s">
        <v>147</v>
      </c>
      <c r="C117" s="394" t="s">
        <v>46</v>
      </c>
      <c r="D117" s="394"/>
      <c r="E117" s="394"/>
      <c r="F117" s="394"/>
      <c r="G117" s="394"/>
      <c r="H117" s="193">
        <f aca="true" t="shared" si="8" ref="H117:M117">H116</f>
        <v>-1855.29</v>
      </c>
      <c r="I117" s="193">
        <f t="shared" si="8"/>
        <v>-1847.17</v>
      </c>
      <c r="J117" s="193">
        <f>J116</f>
        <v>-2076.31</v>
      </c>
      <c r="K117" s="191">
        <f t="shared" si="8"/>
        <v>-2413.12</v>
      </c>
      <c r="L117" s="191">
        <f t="shared" si="8"/>
        <v>-2755.8</v>
      </c>
      <c r="M117" s="191">
        <f t="shared" si="8"/>
        <v>-3103.74</v>
      </c>
      <c r="N117" s="193">
        <f>-N108</f>
        <v>-2976.522402485941</v>
      </c>
      <c r="O117" s="199"/>
      <c r="P117" s="160" t="s">
        <v>343</v>
      </c>
      <c r="T117"/>
    </row>
    <row r="118" spans="2:20" ht="15" hidden="1">
      <c r="B118" s="137">
        <v>37</v>
      </c>
      <c r="C118" s="387" t="s">
        <v>47</v>
      </c>
      <c r="D118" s="387"/>
      <c r="E118" s="387"/>
      <c r="F118" s="387"/>
      <c r="G118" s="387"/>
      <c r="H118" s="133">
        <v>0</v>
      </c>
      <c r="I118" s="133">
        <v>0</v>
      </c>
      <c r="J118" s="133">
        <v>0</v>
      </c>
      <c r="K118" s="133">
        <v>0</v>
      </c>
      <c r="L118" s="133">
        <v>0</v>
      </c>
      <c r="M118" s="133">
        <v>0</v>
      </c>
      <c r="N118" s="133">
        <v>0</v>
      </c>
      <c r="O118" s="71"/>
      <c r="P118" s="159" t="s">
        <v>209</v>
      </c>
      <c r="T118"/>
    </row>
    <row r="119" spans="2:16" ht="15">
      <c r="B119" s="143" t="s">
        <v>174</v>
      </c>
      <c r="C119" s="386" t="s">
        <v>47</v>
      </c>
      <c r="D119" s="386"/>
      <c r="E119" s="386"/>
      <c r="F119" s="386"/>
      <c r="G119" s="386"/>
      <c r="H119" s="186">
        <f aca="true" t="shared" si="9" ref="H119:N119">H118</f>
        <v>0</v>
      </c>
      <c r="I119" s="186">
        <f t="shared" si="9"/>
        <v>0</v>
      </c>
      <c r="J119" s="186">
        <f t="shared" si="9"/>
        <v>0</v>
      </c>
      <c r="K119" s="193">
        <f t="shared" si="9"/>
        <v>0</v>
      </c>
      <c r="L119" s="193">
        <f t="shared" si="9"/>
        <v>0</v>
      </c>
      <c r="M119" s="193">
        <f t="shared" si="9"/>
        <v>0</v>
      </c>
      <c r="N119" s="193">
        <f t="shared" si="9"/>
        <v>0</v>
      </c>
      <c r="O119" s="25"/>
      <c r="P119" s="160" t="s">
        <v>212</v>
      </c>
    </row>
    <row r="120" spans="2:16" ht="2.25" customHeight="1">
      <c r="B120" s="179"/>
      <c r="C120" s="201"/>
      <c r="D120" s="201"/>
      <c r="E120" s="201"/>
      <c r="F120" s="201"/>
      <c r="G120" s="201"/>
      <c r="H120" s="201"/>
      <c r="I120" s="180"/>
      <c r="J120" s="180"/>
      <c r="K120" s="9"/>
      <c r="L120" s="9"/>
      <c r="M120" s="9"/>
      <c r="N120" s="9"/>
      <c r="O120" s="199"/>
      <c r="P120" s="199"/>
    </row>
    <row r="121" spans="2:16" ht="15" hidden="1">
      <c r="B121" s="137">
        <v>38</v>
      </c>
      <c r="C121" s="387" t="s">
        <v>48</v>
      </c>
      <c r="D121" s="387"/>
      <c r="E121" s="387"/>
      <c r="F121" s="387"/>
      <c r="G121" s="387"/>
      <c r="H121" s="133">
        <f aca="true" t="shared" si="10" ref="H121:M121">H98+H100+H101+H104+H106+H107+H110+H116+H118</f>
        <v>15064.48958571093</v>
      </c>
      <c r="I121" s="133">
        <f t="shared" si="10"/>
        <v>15049.40300254966</v>
      </c>
      <c r="J121" s="133">
        <f t="shared" si="10"/>
        <v>15009.40580183944</v>
      </c>
      <c r="K121" s="133">
        <f t="shared" si="10"/>
        <v>15062.294785367103</v>
      </c>
      <c r="L121" s="133">
        <f t="shared" si="10"/>
        <v>15050.785824667142</v>
      </c>
      <c r="M121" s="133">
        <f t="shared" si="10"/>
        <v>15071.048763383615</v>
      </c>
      <c r="N121" s="133" t="e">
        <f>N98+N100+N104+N106+N110+N116+N118+N101+N107</f>
        <v>#REF!</v>
      </c>
      <c r="O121" s="196"/>
      <c r="P121" s="159" t="s">
        <v>344</v>
      </c>
    </row>
    <row r="122" spans="2:16" ht="15">
      <c r="B122" s="143" t="s">
        <v>173</v>
      </c>
      <c r="C122" s="386" t="s">
        <v>48</v>
      </c>
      <c r="D122" s="386"/>
      <c r="E122" s="386"/>
      <c r="F122" s="386"/>
      <c r="G122" s="386"/>
      <c r="H122" s="206">
        <f aca="true" t="shared" si="11" ref="H122:N122">H99+H102+H103+H105+H108+H109+H115+H117+H119</f>
        <v>15064.48958571093</v>
      </c>
      <c r="I122" s="206">
        <f t="shared" si="11"/>
        <v>15049.40300254966</v>
      </c>
      <c r="J122" s="206">
        <f t="shared" si="11"/>
        <v>15009.40580183944</v>
      </c>
      <c r="K122" s="171">
        <f t="shared" si="11"/>
        <v>15062.294785367103</v>
      </c>
      <c r="L122" s="171">
        <f t="shared" si="11"/>
        <v>15050.785824667142</v>
      </c>
      <c r="M122" s="171">
        <f t="shared" si="11"/>
        <v>15071.048763383615</v>
      </c>
      <c r="N122" s="171" t="e">
        <f t="shared" si="11"/>
        <v>#REF!</v>
      </c>
      <c r="O122" s="199"/>
      <c r="P122" s="162" t="s">
        <v>345</v>
      </c>
    </row>
    <row r="123" spans="2:16" ht="15">
      <c r="B123" s="7"/>
      <c r="C123" s="31" t="s">
        <v>49</v>
      </c>
      <c r="D123" s="31"/>
      <c r="E123" s="31"/>
      <c r="F123" s="31"/>
      <c r="G123" s="31"/>
      <c r="H123" s="31"/>
      <c r="I123" s="11"/>
      <c r="J123" s="11"/>
      <c r="K123" s="11"/>
      <c r="L123" s="11"/>
      <c r="M123" s="11"/>
      <c r="N123" s="11"/>
      <c r="O123" s="26"/>
      <c r="P123" s="26"/>
    </row>
    <row r="124" spans="2:16" ht="15" hidden="1">
      <c r="B124" s="137">
        <v>39</v>
      </c>
      <c r="C124" s="387" t="s">
        <v>324</v>
      </c>
      <c r="D124" s="387"/>
      <c r="E124" s="387"/>
      <c r="F124" s="387"/>
      <c r="G124" s="387"/>
      <c r="H124" s="141">
        <v>150651.57515000002</v>
      </c>
      <c r="I124" s="141">
        <f>H$129</f>
        <v>108951.57515000002</v>
      </c>
      <c r="J124" s="141">
        <f>I$129</f>
        <v>108851.57515000002</v>
      </c>
      <c r="K124" s="141">
        <f>J$129</f>
        <v>109551.57515000002</v>
      </c>
      <c r="L124" s="141">
        <f>K$129</f>
        <v>112351.57515000002</v>
      </c>
      <c r="M124" s="141">
        <f>L$129</f>
        <v>112951.57515000002</v>
      </c>
      <c r="N124" s="133">
        <f>M129</f>
        <v>113451.57515000002</v>
      </c>
      <c r="O124" s="112"/>
      <c r="P124" s="163" t="s">
        <v>230</v>
      </c>
    </row>
    <row r="125" spans="2:16" ht="15">
      <c r="B125" s="143" t="s">
        <v>175</v>
      </c>
      <c r="C125" s="386" t="s">
        <v>467</v>
      </c>
      <c r="D125" s="386"/>
      <c r="E125" s="386"/>
      <c r="F125" s="386"/>
      <c r="G125" s="386"/>
      <c r="H125" s="206">
        <f>ROUND(H124,2)</f>
        <v>150651.58</v>
      </c>
      <c r="I125" s="206">
        <f>H130</f>
        <v>175651.58</v>
      </c>
      <c r="J125" s="206">
        <f>I130</f>
        <v>175651.58</v>
      </c>
      <c r="K125" s="142">
        <f>J130</f>
        <v>147651.58</v>
      </c>
      <c r="L125" s="142">
        <f>K130</f>
        <v>150451.58</v>
      </c>
      <c r="M125" s="142">
        <f>L130</f>
        <v>151051.58</v>
      </c>
      <c r="N125" s="96">
        <f>M130</f>
        <v>151551.58</v>
      </c>
      <c r="O125" s="26"/>
      <c r="P125" s="164" t="s">
        <v>230</v>
      </c>
    </row>
    <row r="126" spans="2:16" ht="15" hidden="1">
      <c r="B126" s="137">
        <v>40</v>
      </c>
      <c r="C126" s="387" t="s">
        <v>50</v>
      </c>
      <c r="D126" s="387"/>
      <c r="E126" s="387"/>
      <c r="F126" s="387"/>
      <c r="G126" s="387"/>
      <c r="H126" s="133">
        <f aca="true" t="shared" si="12" ref="H126:M126">ROUND(-H64,2)</f>
        <v>-41700</v>
      </c>
      <c r="I126" s="133">
        <f t="shared" si="12"/>
        <v>-100</v>
      </c>
      <c r="J126" s="133">
        <f t="shared" si="12"/>
        <v>700</v>
      </c>
      <c r="K126" s="133">
        <f t="shared" si="12"/>
        <v>2800</v>
      </c>
      <c r="L126" s="133">
        <f t="shared" si="12"/>
        <v>600</v>
      </c>
      <c r="M126" s="133">
        <f t="shared" si="12"/>
        <v>500</v>
      </c>
      <c r="N126" s="133">
        <f>-N64</f>
        <v>-7700</v>
      </c>
      <c r="O126" s="71"/>
      <c r="P126" s="159" t="s">
        <v>346</v>
      </c>
    </row>
    <row r="127" spans="2:16" ht="15">
      <c r="B127" s="143" t="s">
        <v>314</v>
      </c>
      <c r="C127" s="386" t="s">
        <v>50</v>
      </c>
      <c r="D127" s="386"/>
      <c r="E127" s="386"/>
      <c r="F127" s="386"/>
      <c r="G127" s="386"/>
      <c r="H127" s="186">
        <f aca="true" t="shared" si="13" ref="H127:M127">-H$65</f>
        <v>25000</v>
      </c>
      <c r="I127" s="186">
        <f>-I$65</f>
        <v>0</v>
      </c>
      <c r="J127" s="186">
        <f t="shared" si="13"/>
        <v>-28000</v>
      </c>
      <c r="K127" s="96">
        <f t="shared" si="13"/>
        <v>2800</v>
      </c>
      <c r="L127" s="96">
        <f t="shared" si="13"/>
        <v>600</v>
      </c>
      <c r="M127" s="96">
        <f t="shared" si="13"/>
        <v>500</v>
      </c>
      <c r="N127" s="96">
        <f>-N65</f>
        <v>-7700</v>
      </c>
      <c r="O127" s="25"/>
      <c r="P127" s="160" t="s">
        <v>347</v>
      </c>
    </row>
    <row r="128" spans="2:16" ht="2.25" customHeight="1">
      <c r="B128" s="179"/>
      <c r="C128" s="201"/>
      <c r="D128" s="201"/>
      <c r="E128" s="201"/>
      <c r="F128" s="201"/>
      <c r="G128" s="201"/>
      <c r="H128" s="201"/>
      <c r="I128" s="180"/>
      <c r="J128" s="180"/>
      <c r="K128" s="9"/>
      <c r="L128" s="9"/>
      <c r="M128" s="9"/>
      <c r="N128" s="9"/>
      <c r="O128" s="26"/>
      <c r="P128" s="26"/>
    </row>
    <row r="129" spans="2:16" ht="15" hidden="1">
      <c r="B129" s="137">
        <v>41</v>
      </c>
      <c r="C129" s="387" t="s">
        <v>48</v>
      </c>
      <c r="D129" s="387"/>
      <c r="E129" s="387"/>
      <c r="F129" s="387"/>
      <c r="G129" s="387"/>
      <c r="H129" s="141">
        <f aca="true" t="shared" si="14" ref="H129:N129">H124+H126</f>
        <v>108951.57515000002</v>
      </c>
      <c r="I129" s="141">
        <f t="shared" si="14"/>
        <v>108851.57515000002</v>
      </c>
      <c r="J129" s="141">
        <f t="shared" si="14"/>
        <v>109551.57515000002</v>
      </c>
      <c r="K129" s="141">
        <f t="shared" si="14"/>
        <v>112351.57515000002</v>
      </c>
      <c r="L129" s="141">
        <f t="shared" si="14"/>
        <v>112951.57515000002</v>
      </c>
      <c r="M129" s="141">
        <f t="shared" si="14"/>
        <v>113451.57515000002</v>
      </c>
      <c r="N129" s="133">
        <f t="shared" si="14"/>
        <v>105751.57515000002</v>
      </c>
      <c r="O129" s="139"/>
      <c r="P129" s="172" t="s">
        <v>348</v>
      </c>
    </row>
    <row r="130" spans="2:16" ht="15">
      <c r="B130" s="143" t="s">
        <v>315</v>
      </c>
      <c r="C130" s="386" t="s">
        <v>48</v>
      </c>
      <c r="D130" s="386"/>
      <c r="E130" s="386"/>
      <c r="F130" s="386"/>
      <c r="G130" s="386"/>
      <c r="H130" s="292">
        <f aca="true" t="shared" si="15" ref="H130:M130">H$125+H$127</f>
        <v>175651.58</v>
      </c>
      <c r="I130" s="292">
        <f t="shared" si="15"/>
        <v>175651.58</v>
      </c>
      <c r="J130" s="292">
        <f t="shared" si="15"/>
        <v>147651.58</v>
      </c>
      <c r="K130" s="142">
        <f t="shared" si="15"/>
        <v>150451.58</v>
      </c>
      <c r="L130" s="142">
        <f t="shared" si="15"/>
        <v>151051.58</v>
      </c>
      <c r="M130" s="142">
        <f t="shared" si="15"/>
        <v>151551.58</v>
      </c>
      <c r="N130" s="96">
        <f>N125+N127</f>
        <v>143851.58</v>
      </c>
      <c r="O130" s="26"/>
      <c r="P130" s="162" t="s">
        <v>349</v>
      </c>
    </row>
    <row r="131" spans="2:16" ht="6.75" customHeight="1" hidden="1">
      <c r="B131" s="27"/>
      <c r="C131" s="28"/>
      <c r="D131" s="28"/>
      <c r="E131" s="28"/>
      <c r="F131" s="28"/>
      <c r="G131" s="28"/>
      <c r="H131" s="28"/>
      <c r="I131" s="29"/>
      <c r="J131" s="29"/>
      <c r="K131" s="29"/>
      <c r="L131" s="29"/>
      <c r="M131" s="29"/>
      <c r="N131" s="29"/>
      <c r="O131" s="26"/>
      <c r="P131" s="26"/>
    </row>
    <row r="132" spans="2:14" ht="14.25" customHeight="1">
      <c r="B132" s="38"/>
      <c r="C132" s="39"/>
      <c r="D132" s="39"/>
      <c r="E132" s="39"/>
      <c r="F132" s="39"/>
      <c r="G132" s="39"/>
      <c r="H132" s="39"/>
      <c r="I132" s="36"/>
      <c r="J132" s="36"/>
      <c r="K132" s="36"/>
      <c r="L132" s="36"/>
      <c r="M132" s="36"/>
      <c r="N132" s="36"/>
    </row>
    <row r="133" spans="2:16" ht="15" customHeight="1" thickBot="1">
      <c r="B133" s="213" t="s">
        <v>231</v>
      </c>
      <c r="C133" s="40"/>
      <c r="D133" s="40"/>
      <c r="E133" s="40"/>
      <c r="F133" s="40"/>
      <c r="G133" s="40"/>
      <c r="H133" s="40"/>
      <c r="I133" s="171"/>
      <c r="J133" s="171"/>
      <c r="K133" s="36"/>
      <c r="L133" s="36"/>
      <c r="M133" s="36"/>
      <c r="N133" s="36"/>
      <c r="P133" s="121" t="s">
        <v>398</v>
      </c>
    </row>
    <row r="134" spans="2:20" ht="14.25" customHeight="1">
      <c r="B134" s="181"/>
      <c r="C134" s="388" t="s">
        <v>316</v>
      </c>
      <c r="D134" s="389"/>
      <c r="E134" s="389"/>
      <c r="F134" s="389"/>
      <c r="G134" s="390"/>
      <c r="H134" s="214"/>
      <c r="I134" s="226">
        <f>-$I62</f>
        <v>531980.94</v>
      </c>
      <c r="J134" s="286">
        <f>-$J62</f>
        <v>544955.74</v>
      </c>
      <c r="K134" s="49">
        <f>-$K62</f>
        <v>572357.21</v>
      </c>
      <c r="L134" s="49">
        <f>-$L62</f>
        <v>586997.7699999999</v>
      </c>
      <c r="M134" s="50">
        <f>-$M62</f>
        <v>602222.2399999999</v>
      </c>
      <c r="N134" s="50" t="e">
        <f>-N62</f>
        <v>#REF!</v>
      </c>
      <c r="P134" s="121" t="s">
        <v>399</v>
      </c>
      <c r="Q134"/>
      <c r="R134"/>
      <c r="S134"/>
      <c r="T134"/>
    </row>
    <row r="135" spans="2:20" ht="14.25" customHeight="1">
      <c r="B135" s="181"/>
      <c r="C135" s="383" t="s">
        <v>317</v>
      </c>
      <c r="D135" s="384"/>
      <c r="E135" s="384"/>
      <c r="F135" s="384"/>
      <c r="G135" s="385"/>
      <c r="H135" s="68"/>
      <c r="I135" s="171">
        <f>-$I79</f>
        <v>182361.85589330515</v>
      </c>
      <c r="J135" s="287">
        <f>-$J79</f>
        <v>204066.004357923</v>
      </c>
      <c r="K135" s="51">
        <f>-$K79</f>
        <v>222261.915639125</v>
      </c>
      <c r="L135" s="51">
        <f>-$L79</f>
        <v>256635.64711621244</v>
      </c>
      <c r="M135" s="52">
        <f>-$M79</f>
        <v>294346.120776388</v>
      </c>
      <c r="N135" s="52">
        <f>-N79</f>
        <v>290346.120776388</v>
      </c>
      <c r="P135" s="121" t="s">
        <v>400</v>
      </c>
      <c r="Q135"/>
      <c r="R135"/>
      <c r="S135"/>
      <c r="T135"/>
    </row>
    <row r="136" spans="2:20" ht="14.25" customHeight="1">
      <c r="B136" s="181"/>
      <c r="C136" s="383" t="s">
        <v>318</v>
      </c>
      <c r="D136" s="384"/>
      <c r="E136" s="384"/>
      <c r="F136" s="384"/>
      <c r="G136" s="385"/>
      <c r="H136" s="68"/>
      <c r="I136" s="171">
        <f>-$I90</f>
        <v>29447.060080000003</v>
      </c>
      <c r="J136" s="287">
        <f>-$J90</f>
        <v>29308.447130228982</v>
      </c>
      <c r="K136" s="51">
        <f>-$K90</f>
        <v>32961.978959389126</v>
      </c>
      <c r="L136" s="51">
        <f>-$L90</f>
        <v>34873.7737390337</v>
      </c>
      <c r="M136" s="52">
        <f>-$M90</f>
        <v>36896.45261589765</v>
      </c>
      <c r="N136" s="52">
        <f>-N90</f>
        <v>2811</v>
      </c>
      <c r="P136" s="82"/>
      <c r="Q136"/>
      <c r="R136"/>
      <c r="S136"/>
      <c r="T136"/>
    </row>
    <row r="137" spans="2:20" ht="14.25" customHeight="1">
      <c r="B137" s="181"/>
      <c r="C137" s="383" t="s">
        <v>319</v>
      </c>
      <c r="D137" s="384"/>
      <c r="E137" s="384"/>
      <c r="F137" s="384"/>
      <c r="G137" s="385"/>
      <c r="H137" s="68"/>
      <c r="I137" s="171">
        <f>-$I115</f>
        <v>8000</v>
      </c>
      <c r="J137" s="287">
        <f>-$J115</f>
        <v>12599.999999999998</v>
      </c>
      <c r="K137" s="51">
        <f>-$K115</f>
        <v>16300.000000000002</v>
      </c>
      <c r="L137" s="51">
        <f>-$L115</f>
        <v>21000</v>
      </c>
      <c r="M137" s="52">
        <f>-$M115</f>
        <v>26500</v>
      </c>
      <c r="N137" s="52">
        <f>-N115</f>
        <v>26500</v>
      </c>
      <c r="P137"/>
      <c r="Q137"/>
      <c r="R137"/>
      <c r="S137"/>
      <c r="T137"/>
    </row>
    <row r="138" spans="2:20" ht="14.25" customHeight="1">
      <c r="B138" s="181"/>
      <c r="C138" s="383" t="s">
        <v>320</v>
      </c>
      <c r="D138" s="384"/>
      <c r="E138" s="384"/>
      <c r="F138" s="384"/>
      <c r="G138" s="385"/>
      <c r="H138" s="68"/>
      <c r="I138" s="171">
        <f>-$I85</f>
        <v>0</v>
      </c>
      <c r="J138" s="287">
        <f>-$J85</f>
        <v>0</v>
      </c>
      <c r="K138" s="51">
        <f>-$K85</f>
        <v>0</v>
      </c>
      <c r="L138" s="51">
        <f>-$L85</f>
        <v>0</v>
      </c>
      <c r="M138" s="52">
        <f>-$M85</f>
        <v>0</v>
      </c>
      <c r="N138" s="52">
        <f>-N85</f>
        <v>0</v>
      </c>
      <c r="P138" s="77"/>
      <c r="Q138"/>
      <c r="R138"/>
      <c r="S138"/>
      <c r="T138"/>
    </row>
    <row r="139" spans="2:20" ht="14.25" customHeight="1">
      <c r="B139" s="181"/>
      <c r="C139" s="216" t="s">
        <v>241</v>
      </c>
      <c r="D139" s="217"/>
      <c r="E139" s="217"/>
      <c r="F139" s="217"/>
      <c r="G139" s="217"/>
      <c r="H139" s="217"/>
      <c r="I139" s="218">
        <f>$I105+$I115</f>
        <v>-164.90961208285444</v>
      </c>
      <c r="J139" s="288">
        <f>$J105+$J115</f>
        <v>-189.5451138908884</v>
      </c>
      <c r="K139" s="73">
        <f>$K105+$K115</f>
        <v>-96.72584977516999</v>
      </c>
      <c r="L139" s="73">
        <f>$L105+$L115</f>
        <v>-161.32709100443753</v>
      </c>
      <c r="M139" s="74">
        <f>$M105+$M115</f>
        <v>-129.59390697804338</v>
      </c>
      <c r="N139" s="52" t="e">
        <f>N105+N115</f>
        <v>#REF!</v>
      </c>
      <c r="P139" s="77"/>
      <c r="Q139"/>
      <c r="R139"/>
      <c r="S139"/>
      <c r="T139"/>
    </row>
    <row r="140" spans="2:20" ht="14.25" customHeight="1">
      <c r="B140" s="181"/>
      <c r="C140" s="219" t="s">
        <v>205</v>
      </c>
      <c r="D140" s="195"/>
      <c r="E140" s="195"/>
      <c r="F140" s="195"/>
      <c r="G140" s="195"/>
      <c r="H140" s="195"/>
      <c r="I140" s="192">
        <f>SUM($I134:$I139)</f>
        <v>751624.9463612222</v>
      </c>
      <c r="J140" s="289">
        <f>SUM($J134:$J139)</f>
        <v>790740.6463742611</v>
      </c>
      <c r="K140" s="51">
        <f>SUM($K134:$K139)</f>
        <v>843784.378748739</v>
      </c>
      <c r="L140" s="51">
        <f>SUM($L134:$L139)</f>
        <v>899345.8637642416</v>
      </c>
      <c r="M140" s="52">
        <f>SUM($M134:$M139)</f>
        <v>959835.2194853075</v>
      </c>
      <c r="N140" s="52" t="e">
        <f>SUM(N134:N139)</f>
        <v>#REF!</v>
      </c>
      <c r="P140" s="83"/>
      <c r="Q140"/>
      <c r="R140"/>
      <c r="S140"/>
      <c r="T140"/>
    </row>
    <row r="141" spans="2:20" ht="14.25" customHeight="1">
      <c r="B141" s="181"/>
      <c r="C141" s="383" t="s">
        <v>321</v>
      </c>
      <c r="D141" s="384"/>
      <c r="E141" s="384"/>
      <c r="F141" s="384"/>
      <c r="G141" s="385"/>
      <c r="H141" s="68"/>
      <c r="I141" s="220">
        <f>$I127</f>
        <v>0</v>
      </c>
      <c r="J141" s="290">
        <f>$J127</f>
        <v>-28000</v>
      </c>
      <c r="K141" s="53">
        <f>$K127</f>
        <v>2800</v>
      </c>
      <c r="L141" s="53">
        <f>$L127</f>
        <v>600</v>
      </c>
      <c r="M141" s="91">
        <f>$M127</f>
        <v>500</v>
      </c>
      <c r="N141" s="91">
        <f>N127</f>
        <v>-7700</v>
      </c>
      <c r="P141"/>
      <c r="Q141"/>
      <c r="R141"/>
      <c r="S141"/>
      <c r="T141"/>
    </row>
    <row r="142" spans="2:20" ht="14.25" customHeight="1">
      <c r="B142" s="181"/>
      <c r="C142" s="391" t="s">
        <v>206</v>
      </c>
      <c r="D142" s="392"/>
      <c r="E142" s="392"/>
      <c r="F142" s="392"/>
      <c r="G142" s="393"/>
      <c r="H142" s="217"/>
      <c r="I142" s="218">
        <f>-($I45+$I47+$I53+$I55)</f>
        <v>-31561.030000000002</v>
      </c>
      <c r="J142" s="288">
        <f>-($J45+$J47+$J53+$J55)</f>
        <v>-31518.98</v>
      </c>
      <c r="K142" s="73">
        <f>-($K45+$K47+$K53+$K55)</f>
        <v>-31497.81</v>
      </c>
      <c r="L142" s="73">
        <f>-($L45+$L47+$L53+$L55)</f>
        <v>-31459.62</v>
      </c>
      <c r="M142" s="74">
        <f>-($M45+$M47+$M53+$M55)</f>
        <v>-31425.76</v>
      </c>
      <c r="N142" s="52">
        <f>-(N45+N47+N53+N55)</f>
        <v>-31425.76</v>
      </c>
      <c r="P142"/>
      <c r="Q142"/>
      <c r="R142"/>
      <c r="S142"/>
      <c r="T142"/>
    </row>
    <row r="143" spans="2:20" ht="14.25" customHeight="1">
      <c r="B143" s="181"/>
      <c r="C143" s="219" t="s">
        <v>207</v>
      </c>
      <c r="D143" s="195"/>
      <c r="E143" s="195"/>
      <c r="F143" s="195"/>
      <c r="G143" s="195"/>
      <c r="H143" s="195"/>
      <c r="I143" s="192">
        <f>SUM($I140:$I142)</f>
        <v>720063.9163612222</v>
      </c>
      <c r="J143" s="289">
        <f>SUM($J140:$J142)</f>
        <v>731221.6663742611</v>
      </c>
      <c r="K143" s="51">
        <f>SUM($K140:$K142)</f>
        <v>815086.568748739</v>
      </c>
      <c r="L143" s="51">
        <f>SUM($L140:$L142)</f>
        <v>868486.2437642416</v>
      </c>
      <c r="M143" s="52">
        <f>SUM($M140:$M142)</f>
        <v>928909.4594853075</v>
      </c>
      <c r="N143" s="52" t="e">
        <f>SUM(N140:N142)</f>
        <v>#REF!</v>
      </c>
      <c r="P143"/>
      <c r="Q143"/>
      <c r="R143"/>
      <c r="S143"/>
      <c r="T143"/>
    </row>
    <row r="144" spans="2:20" ht="14.25" customHeight="1">
      <c r="B144" s="181"/>
      <c r="C144" s="383" t="s">
        <v>10</v>
      </c>
      <c r="D144" s="384"/>
      <c r="E144" s="384"/>
      <c r="F144" s="384"/>
      <c r="G144" s="385"/>
      <c r="H144" s="68"/>
      <c r="I144" s="218">
        <f>$I20</f>
        <v>729860.1968075901</v>
      </c>
      <c r="J144" s="288">
        <f>$J20</f>
        <v>731015.5403803074</v>
      </c>
      <c r="K144" s="73">
        <f>$K20</f>
        <v>704482.7724810564</v>
      </c>
      <c r="L144" s="73">
        <f>$L20</f>
        <v>699524.7621527947</v>
      </c>
      <c r="M144" s="74">
        <f>$M20</f>
        <v>694584.4185462422</v>
      </c>
      <c r="N144" s="74">
        <f>N20</f>
        <v>694584.4185462422</v>
      </c>
      <c r="P144" s="83"/>
      <c r="Q144"/>
      <c r="R144"/>
      <c r="S144"/>
      <c r="T144"/>
    </row>
    <row r="145" spans="2:20" ht="14.25" customHeight="1">
      <c r="B145" s="181"/>
      <c r="C145" s="383" t="s">
        <v>322</v>
      </c>
      <c r="D145" s="384"/>
      <c r="E145" s="384"/>
      <c r="F145" s="384"/>
      <c r="G145" s="385"/>
      <c r="H145" s="68"/>
      <c r="I145" s="192">
        <f>$I143-$I144</f>
        <v>-9796.28044636792</v>
      </c>
      <c r="J145" s="289">
        <f>$J143-$J144</f>
        <v>206.12599395378493</v>
      </c>
      <c r="K145" s="51">
        <f>$K143-$K144</f>
        <v>110603.79626768257</v>
      </c>
      <c r="L145" s="51">
        <f>$L143-$L144</f>
        <v>168961.48161144683</v>
      </c>
      <c r="M145" s="52">
        <f>$M143-$M144</f>
        <v>234325.04093906528</v>
      </c>
      <c r="N145" s="52" t="e">
        <f>N143-N144</f>
        <v>#REF!</v>
      </c>
      <c r="P145"/>
      <c r="Q145"/>
      <c r="R145"/>
      <c r="S145"/>
      <c r="T145"/>
    </row>
    <row r="146" spans="2:14" ht="14.25" customHeight="1">
      <c r="B146" s="181"/>
      <c r="C146" s="221"/>
      <c r="D146" s="40"/>
      <c r="E146" s="40"/>
      <c r="F146" s="40"/>
      <c r="G146" s="40"/>
      <c r="H146" s="40"/>
      <c r="I146" s="192"/>
      <c r="J146" s="289"/>
      <c r="K146" s="51"/>
      <c r="L146" s="51"/>
      <c r="M146" s="52"/>
      <c r="N146" s="52"/>
    </row>
    <row r="147" spans="2:14" ht="14.25" customHeight="1">
      <c r="B147" s="181"/>
      <c r="C147" s="215" t="s">
        <v>179</v>
      </c>
      <c r="D147" s="131"/>
      <c r="E147" s="131"/>
      <c r="F147" s="131"/>
      <c r="G147" s="132"/>
      <c r="H147" s="131"/>
      <c r="I147" s="293">
        <f>$I145</f>
        <v>-9796.28044636792</v>
      </c>
      <c r="J147" s="294">
        <f>J145</f>
        <v>206.12599395378493</v>
      </c>
      <c r="K147" s="284">
        <f>K145</f>
        <v>110603.79626768257</v>
      </c>
      <c r="L147" s="54">
        <f>L145</f>
        <v>168961.48161144683</v>
      </c>
      <c r="M147" s="115">
        <f>M145</f>
        <v>234325.04093906528</v>
      </c>
      <c r="N147" s="92" t="e">
        <f>N145</f>
        <v>#REF!</v>
      </c>
    </row>
    <row r="148" spans="2:14" ht="14.25" customHeight="1" thickBot="1">
      <c r="B148" s="181"/>
      <c r="C148" s="222"/>
      <c r="D148" s="223"/>
      <c r="E148" s="223"/>
      <c r="F148" s="223"/>
      <c r="G148" s="224"/>
      <c r="H148" s="223"/>
      <c r="I148" s="225"/>
      <c r="J148" s="291"/>
      <c r="K148" s="285"/>
      <c r="L148" s="55"/>
      <c r="M148" s="55"/>
      <c r="N148" s="93"/>
    </row>
    <row r="149" spans="2:12" ht="4.5" customHeight="1">
      <c r="B149" s="38"/>
      <c r="C149" s="41"/>
      <c r="D149" s="42"/>
      <c r="E149" s="42"/>
      <c r="F149" s="42"/>
      <c r="G149" s="43"/>
      <c r="H149" s="42"/>
      <c r="I149" s="37"/>
      <c r="J149" s="37"/>
      <c r="K149" s="37"/>
      <c r="L149" s="37"/>
    </row>
    <row r="150" spans="2:12" ht="16.5" customHeight="1">
      <c r="B150" s="227" t="s">
        <v>460</v>
      </c>
      <c r="C150" s="472"/>
      <c r="D150" s="472"/>
      <c r="E150" s="472"/>
      <c r="F150" s="472"/>
      <c r="G150" s="472"/>
      <c r="H150" s="472"/>
      <c r="I150" s="36"/>
      <c r="J150" s="36"/>
      <c r="K150" s="36"/>
      <c r="L150" s="36"/>
    </row>
    <row r="151" spans="2:12" ht="15">
      <c r="B151" s="227" t="s">
        <v>461</v>
      </c>
      <c r="C151" s="228"/>
      <c r="D151" s="228"/>
      <c r="E151" s="228"/>
      <c r="F151" s="228"/>
      <c r="G151" s="229"/>
      <c r="H151" s="229"/>
      <c r="I151" s="230"/>
      <c r="J151" s="230"/>
      <c r="K151" s="13"/>
      <c r="L151" s="13"/>
    </row>
    <row r="152" spans="2:12" ht="15">
      <c r="B152" s="227" t="s">
        <v>431</v>
      </c>
      <c r="C152" s="228"/>
      <c r="D152" s="228"/>
      <c r="E152" s="228"/>
      <c r="F152" s="228"/>
      <c r="G152" s="229"/>
      <c r="H152" s="229"/>
      <c r="I152" s="230"/>
      <c r="J152" s="230"/>
      <c r="K152" s="13"/>
      <c r="L152" s="13"/>
    </row>
    <row r="153" spans="2:12" ht="15">
      <c r="B153" s="227" t="s">
        <v>462</v>
      </c>
      <c r="C153" s="229"/>
      <c r="D153" s="228"/>
      <c r="E153" s="228"/>
      <c r="F153" s="228"/>
      <c r="G153" s="229"/>
      <c r="H153" s="229"/>
      <c r="I153" s="228"/>
      <c r="J153" s="228"/>
      <c r="K153" s="6"/>
      <c r="L153" s="6"/>
    </row>
    <row r="154" spans="2:12" ht="15">
      <c r="B154" s="227" t="s">
        <v>432</v>
      </c>
      <c r="C154" s="229"/>
      <c r="D154" s="228"/>
      <c r="E154" s="228"/>
      <c r="F154" s="228"/>
      <c r="G154" s="229"/>
      <c r="H154" s="229"/>
      <c r="I154" s="228"/>
      <c r="J154" s="228"/>
      <c r="K154" s="6"/>
      <c r="L154" s="6"/>
    </row>
    <row r="155" spans="2:12" ht="15">
      <c r="B155" s="227" t="s">
        <v>463</v>
      </c>
      <c r="C155" s="229"/>
      <c r="D155" s="228"/>
      <c r="E155" s="228"/>
      <c r="F155" s="228"/>
      <c r="G155" s="229"/>
      <c r="H155" s="229"/>
      <c r="I155" s="228"/>
      <c r="J155" s="228"/>
      <c r="K155" s="6"/>
      <c r="L155" s="6"/>
    </row>
    <row r="156" spans="2:16" ht="15" hidden="1">
      <c r="B156" s="407" t="s">
        <v>414</v>
      </c>
      <c r="C156" s="408"/>
      <c r="D156" s="408"/>
      <c r="E156" s="408"/>
      <c r="F156" s="408"/>
      <c r="G156" s="408"/>
      <c r="H156" s="408"/>
      <c r="I156" s="408"/>
      <c r="J156" s="408"/>
      <c r="K156" s="408"/>
      <c r="L156" s="408"/>
      <c r="M156" s="408"/>
      <c r="N156" s="408"/>
      <c r="O156" s="408"/>
      <c r="P156" s="409"/>
    </row>
    <row r="157" spans="2:16" ht="15" hidden="1">
      <c r="B157" s="410"/>
      <c r="C157" s="411"/>
      <c r="D157" s="411"/>
      <c r="E157" s="411"/>
      <c r="F157" s="411"/>
      <c r="G157" s="411"/>
      <c r="H157" s="411"/>
      <c r="I157" s="411"/>
      <c r="J157" s="411"/>
      <c r="K157" s="411"/>
      <c r="L157" s="411"/>
      <c r="M157" s="411"/>
      <c r="N157" s="411"/>
      <c r="O157" s="411"/>
      <c r="P157" s="412"/>
    </row>
    <row r="158" spans="2:16" ht="33.75" customHeight="1" hidden="1">
      <c r="B158" s="413"/>
      <c r="C158" s="414"/>
      <c r="D158" s="414"/>
      <c r="E158" s="414"/>
      <c r="F158" s="414"/>
      <c r="G158" s="414"/>
      <c r="H158" s="414"/>
      <c r="I158" s="414"/>
      <c r="J158" s="414"/>
      <c r="K158" s="414"/>
      <c r="L158" s="414"/>
      <c r="M158" s="414"/>
      <c r="N158" s="414"/>
      <c r="O158" s="414"/>
      <c r="P158" s="415"/>
    </row>
    <row r="159" spans="2:12" ht="15">
      <c r="B159" s="12"/>
      <c r="D159" s="6"/>
      <c r="E159" s="6"/>
      <c r="F159" s="6"/>
      <c r="I159" s="6"/>
      <c r="J159" s="6"/>
      <c r="K159" s="6"/>
      <c r="L159" s="6"/>
    </row>
    <row r="190" spans="2:4" ht="15">
      <c r="B190" s="3" t="s">
        <v>447</v>
      </c>
      <c r="D190" s="378">
        <f>48864-I39</f>
        <v>58660.28044636792</v>
      </c>
    </row>
    <row r="192" spans="2:4" ht="15">
      <c r="B192" s="3" t="s">
        <v>448</v>
      </c>
      <c r="D192" s="378">
        <f>31543-J39</f>
        <v>31336.874006046215</v>
      </c>
    </row>
  </sheetData>
  <sheetProtection/>
  <protectedRanges>
    <protectedRange sqref="B150:B152" name="Range1"/>
    <protectedRange sqref="B153:B155" name="Range1_2"/>
  </protectedRanges>
  <mergeCells count="98">
    <mergeCell ref="B3:J3"/>
    <mergeCell ref="B4:J4"/>
    <mergeCell ref="B5:J5"/>
    <mergeCell ref="C22:E22"/>
    <mergeCell ref="B6:J6"/>
    <mergeCell ref="B156:P158"/>
    <mergeCell ref="C58:G58"/>
    <mergeCell ref="C61:G61"/>
    <mergeCell ref="C73:G73"/>
    <mergeCell ref="C83:G83"/>
    <mergeCell ref="C88:G88"/>
    <mergeCell ref="C85:G85"/>
    <mergeCell ref="C17:G17"/>
    <mergeCell ref="C57:G57"/>
    <mergeCell ref="C64:G64"/>
    <mergeCell ref="C55:G55"/>
    <mergeCell ref="C62:G62"/>
    <mergeCell ref="C40:G40"/>
    <mergeCell ref="C42:G42"/>
    <mergeCell ref="C38:G38"/>
    <mergeCell ref="B7:P7"/>
    <mergeCell ref="B8:P8"/>
    <mergeCell ref="C14:G14"/>
    <mergeCell ref="C16:G16"/>
    <mergeCell ref="C15:G15"/>
    <mergeCell ref="C79:G79"/>
    <mergeCell ref="C65:G65"/>
    <mergeCell ref="B9:P9"/>
    <mergeCell ref="C43:G43"/>
    <mergeCell ref="C41:G41"/>
    <mergeCell ref="C19:G19"/>
    <mergeCell ref="C20:G20"/>
    <mergeCell ref="C39:G39"/>
    <mergeCell ref="C74:G74"/>
    <mergeCell ref="C84:G84"/>
    <mergeCell ref="C81:G81"/>
    <mergeCell ref="C82:G82"/>
    <mergeCell ref="C75:G75"/>
    <mergeCell ref="C76:G76"/>
    <mergeCell ref="C78:G78"/>
    <mergeCell ref="C80:G80"/>
    <mergeCell ref="C21:G21"/>
    <mergeCell ref="C67:G67"/>
    <mergeCell ref="C45:G45"/>
    <mergeCell ref="C46:G46"/>
    <mergeCell ref="C53:G53"/>
    <mergeCell ref="C54:G54"/>
    <mergeCell ref="C47:G47"/>
    <mergeCell ref="C48:G48"/>
    <mergeCell ref="C44:G44"/>
    <mergeCell ref="B49:P52"/>
    <mergeCell ref="C105:G105"/>
    <mergeCell ref="C124:G124"/>
    <mergeCell ref="C100:G100"/>
    <mergeCell ref="C66:G66"/>
    <mergeCell ref="C69:G69"/>
    <mergeCell ref="C70:G70"/>
    <mergeCell ref="C71:G71"/>
    <mergeCell ref="C72:G72"/>
    <mergeCell ref="C99:G99"/>
    <mergeCell ref="C89:G89"/>
    <mergeCell ref="C104:G104"/>
    <mergeCell ref="C101:G101"/>
    <mergeCell ref="C102:G102"/>
    <mergeCell ref="C103:G103"/>
    <mergeCell ref="C87:G87"/>
    <mergeCell ref="B93:P96"/>
    <mergeCell ref="C90:G90"/>
    <mergeCell ref="C98:G98"/>
    <mergeCell ref="C92:G92"/>
    <mergeCell ref="C91:G91"/>
    <mergeCell ref="C130:G130"/>
    <mergeCell ref="C122:G122"/>
    <mergeCell ref="C116:G116"/>
    <mergeCell ref="C106:G106"/>
    <mergeCell ref="C107:G107"/>
    <mergeCell ref="C108:G108"/>
    <mergeCell ref="B111:P114"/>
    <mergeCell ref="C142:G142"/>
    <mergeCell ref="C109:G109"/>
    <mergeCell ref="C110:G110"/>
    <mergeCell ref="C127:G127"/>
    <mergeCell ref="C129:G129"/>
    <mergeCell ref="C118:G118"/>
    <mergeCell ref="C119:G119"/>
    <mergeCell ref="C121:G121"/>
    <mergeCell ref="C115:G115"/>
    <mergeCell ref="C117:G117"/>
    <mergeCell ref="C144:G144"/>
    <mergeCell ref="C125:G125"/>
    <mergeCell ref="C126:G126"/>
    <mergeCell ref="C145:G145"/>
    <mergeCell ref="C134:G134"/>
    <mergeCell ref="C135:G135"/>
    <mergeCell ref="C136:G136"/>
    <mergeCell ref="C137:G137"/>
    <mergeCell ref="C138:G138"/>
    <mergeCell ref="C141:G141"/>
  </mergeCells>
  <printOptions horizontalCentered="1"/>
  <pageMargins left="0" right="0.5" top="0.25" bottom="0.25" header="0.3" footer="0.3"/>
  <pageSetup fitToHeight="5" horizontalDpi="600" verticalDpi="600" orientation="portrait" r:id="rId1"/>
  <headerFooter>
    <oddHeader>&amp;RSchedule LKM - 1
&amp;P of &amp;N</oddHeader>
  </headerFooter>
  <rowBreaks count="2" manualBreakCount="2">
    <brk id="92" min="1" max="15" man="1"/>
    <brk id="155" min="1" max="15" man="1"/>
  </rowBreaks>
  <ignoredErrors>
    <ignoredError sqref="H11:J11" numberStoredAsText="1"/>
  </ignoredErrors>
</worksheet>
</file>

<file path=xl/worksheets/sheet3.xml><?xml version="1.0" encoding="utf-8"?>
<worksheet xmlns="http://schemas.openxmlformats.org/spreadsheetml/2006/main" xmlns:r="http://schemas.openxmlformats.org/officeDocument/2006/relationships">
  <sheetPr>
    <tabColor indexed="11"/>
    <pageSetUpPr fitToPage="1"/>
  </sheetPr>
  <dimension ref="A3:P75"/>
  <sheetViews>
    <sheetView zoomScale="120" zoomScaleNormal="120" zoomScaleSheetLayoutView="100" zoomScalePageLayoutView="0" workbookViewId="0" topLeftCell="A1">
      <selection activeCell="Q16" sqref="Q16"/>
    </sheetView>
  </sheetViews>
  <sheetFormatPr defaultColWidth="9.00390625" defaultRowHeight="15.75"/>
  <cols>
    <col min="1" max="1" width="2.125" style="3" customWidth="1"/>
    <col min="2" max="2" width="8.125" style="3" customWidth="1"/>
    <col min="3" max="5" width="9.125" style="3" customWidth="1"/>
    <col min="6" max="6" width="4.50390625" style="3" customWidth="1"/>
    <col min="7" max="7" width="4.125" style="3" customWidth="1"/>
    <col min="8" max="10" width="9.625" style="3" customWidth="1"/>
    <col min="11" max="13" width="9.625" style="3" hidden="1" customWidth="1"/>
    <col min="14" max="14" width="2.125" style="3" hidden="1" customWidth="1"/>
    <col min="15" max="15" width="12.625" style="3" hidden="1" customWidth="1"/>
    <col min="16" max="16384" width="9.00390625" style="3" customWidth="1"/>
  </cols>
  <sheetData>
    <row r="3" spans="2:10" ht="15">
      <c r="B3" s="416" t="s">
        <v>422</v>
      </c>
      <c r="C3" s="416"/>
      <c r="D3" s="416"/>
      <c r="E3" s="416"/>
      <c r="F3" s="416"/>
      <c r="G3" s="416"/>
      <c r="H3" s="416"/>
      <c r="I3" s="416"/>
      <c r="J3" s="416"/>
    </row>
    <row r="4" spans="2:10" ht="15">
      <c r="B4" s="417" t="s">
        <v>446</v>
      </c>
      <c r="C4" s="417"/>
      <c r="D4" s="417"/>
      <c r="E4" s="417"/>
      <c r="F4" s="417"/>
      <c r="G4" s="417"/>
      <c r="H4" s="417"/>
      <c r="I4" s="417"/>
      <c r="J4" s="417"/>
    </row>
    <row r="5" spans="2:10" ht="15">
      <c r="B5" s="418" t="s">
        <v>424</v>
      </c>
      <c r="C5" s="418"/>
      <c r="D5" s="418"/>
      <c r="E5" s="418"/>
      <c r="F5" s="418"/>
      <c r="G5" s="418"/>
      <c r="H5" s="418"/>
      <c r="I5" s="418"/>
      <c r="J5" s="418"/>
    </row>
    <row r="6" spans="2:10" ht="15">
      <c r="B6" s="417" t="s">
        <v>433</v>
      </c>
      <c r="C6" s="417"/>
      <c r="D6" s="417"/>
      <c r="E6" s="417"/>
      <c r="F6" s="417"/>
      <c r="G6" s="417"/>
      <c r="H6" s="417"/>
      <c r="I6" s="417"/>
      <c r="J6" s="417"/>
    </row>
    <row r="7" spans="2:10" ht="15">
      <c r="B7" s="231"/>
      <c r="C7" s="231"/>
      <c r="D7" s="231"/>
      <c r="E7" s="231"/>
      <c r="F7" s="231"/>
      <c r="G7" s="231"/>
      <c r="H7" s="231"/>
      <c r="I7" s="231"/>
      <c r="J7" s="231"/>
    </row>
    <row r="8" spans="2:16" ht="17.25" hidden="1">
      <c r="B8" s="397" t="s">
        <v>2</v>
      </c>
      <c r="C8" s="432"/>
      <c r="D8" s="432"/>
      <c r="E8" s="432"/>
      <c r="F8" s="432"/>
      <c r="G8" s="432"/>
      <c r="H8" s="432"/>
      <c r="I8" s="432"/>
      <c r="J8" s="432"/>
      <c r="K8" s="432"/>
      <c r="L8" s="432"/>
      <c r="M8" s="432"/>
      <c r="N8" s="432"/>
      <c r="O8" s="432"/>
      <c r="P8"/>
    </row>
    <row r="9" spans="2:16" ht="17.25" hidden="1">
      <c r="B9" s="399" t="s">
        <v>5</v>
      </c>
      <c r="C9" s="400"/>
      <c r="D9" s="400"/>
      <c r="E9" s="400"/>
      <c r="F9" s="400"/>
      <c r="G9" s="400"/>
      <c r="H9" s="400"/>
      <c r="I9" s="400"/>
      <c r="J9" s="400"/>
      <c r="K9" s="400"/>
      <c r="L9" s="400"/>
      <c r="M9" s="400"/>
      <c r="N9" s="400"/>
      <c r="O9" s="400"/>
      <c r="P9" s="120"/>
    </row>
    <row r="10" spans="2:16" s="117" customFormat="1" ht="19.5" customHeight="1" hidden="1">
      <c r="B10" s="430" t="s">
        <v>405</v>
      </c>
      <c r="C10" s="431"/>
      <c r="D10" s="431"/>
      <c r="E10" s="431"/>
      <c r="F10" s="431"/>
      <c r="G10" s="431"/>
      <c r="H10" s="431"/>
      <c r="I10" s="431"/>
      <c r="J10" s="431"/>
      <c r="K10" s="431"/>
      <c r="L10" s="431"/>
      <c r="M10" s="431"/>
      <c r="N10" s="431"/>
      <c r="O10" s="431"/>
      <c r="P10" s="119"/>
    </row>
    <row r="11" spans="2:16" ht="17.25" hidden="1">
      <c r="B11" s="84" t="s">
        <v>6</v>
      </c>
      <c r="C11" s="85"/>
      <c r="D11" s="85"/>
      <c r="E11" s="85"/>
      <c r="F11" s="86"/>
      <c r="G11" s="87"/>
      <c r="H11" s="75"/>
      <c r="I11" s="75"/>
      <c r="J11" s="75"/>
      <c r="K11" s="75"/>
      <c r="L11" s="75"/>
      <c r="M11" s="75"/>
      <c r="N11" s="46"/>
      <c r="O11" s="46"/>
      <c r="P11"/>
    </row>
    <row r="12" spans="2:16" ht="17.25">
      <c r="B12" s="234" t="s">
        <v>244</v>
      </c>
      <c r="C12" s="235" t="s">
        <v>0</v>
      </c>
      <c r="D12" s="235"/>
      <c r="E12" s="235"/>
      <c r="F12" s="235"/>
      <c r="G12" s="235"/>
      <c r="H12" s="235" t="s">
        <v>427</v>
      </c>
      <c r="I12" s="235" t="s">
        <v>426</v>
      </c>
      <c r="J12" s="235" t="s">
        <v>425</v>
      </c>
      <c r="K12" s="236">
        <v>2024</v>
      </c>
      <c r="L12" s="236">
        <v>2025</v>
      </c>
      <c r="M12" s="236">
        <v>2026</v>
      </c>
      <c r="N12" s="237"/>
      <c r="O12" s="238" t="s">
        <v>208</v>
      </c>
      <c r="P12" s="237"/>
    </row>
    <row r="13" spans="1:16" ht="7.5" customHeight="1">
      <c r="A13" s="4"/>
      <c r="B13" s="251"/>
      <c r="C13" s="239"/>
      <c r="D13" s="239"/>
      <c r="E13" s="239"/>
      <c r="F13" s="239"/>
      <c r="G13" s="239"/>
      <c r="H13" s="239"/>
      <c r="I13" s="239"/>
      <c r="J13" s="239"/>
      <c r="K13" s="239"/>
      <c r="L13" s="239"/>
      <c r="M13" s="239"/>
      <c r="N13" s="251"/>
      <c r="O13" s="252"/>
      <c r="P13" s="237"/>
    </row>
    <row r="14" spans="1:16" ht="15.75" customHeight="1" hidden="1">
      <c r="A14" s="4"/>
      <c r="B14" s="253">
        <v>1</v>
      </c>
      <c r="C14" s="246" t="s">
        <v>57</v>
      </c>
      <c r="D14" s="246"/>
      <c r="E14" s="246"/>
      <c r="F14" s="246"/>
      <c r="G14" s="246"/>
      <c r="H14" s="240">
        <v>253071.04027718204</v>
      </c>
      <c r="I14" s="240">
        <v>263593.07539268833</v>
      </c>
      <c r="J14" s="240">
        <v>266743.379051085</v>
      </c>
      <c r="K14" s="240">
        <v>269713.13270983926</v>
      </c>
      <c r="L14" s="240">
        <v>267430.1428332407</v>
      </c>
      <c r="M14" s="240">
        <v>265150.6490574604</v>
      </c>
      <c r="N14" s="252"/>
      <c r="O14" s="254" t="s">
        <v>209</v>
      </c>
      <c r="P14" s="237"/>
    </row>
    <row r="15" spans="1:16" ht="15.75" customHeight="1">
      <c r="A15" s="4"/>
      <c r="B15" s="253" t="s">
        <v>135</v>
      </c>
      <c r="C15" s="246" t="s">
        <v>57</v>
      </c>
      <c r="D15" s="246"/>
      <c r="E15" s="246"/>
      <c r="F15" s="246"/>
      <c r="G15" s="246"/>
      <c r="H15" s="255">
        <f>'[2]BV_E1_C_Tables'!$I$31</f>
        <v>281601.4368667892</v>
      </c>
      <c r="I15" s="255">
        <f>'[2]BV_E1_C_Tables'!$J$31</f>
        <v>283150.3569492321</v>
      </c>
      <c r="J15" s="255">
        <f>'[2]BV_E1_C_Tables'!$K$31</f>
        <v>284253.22598518484</v>
      </c>
      <c r="K15" s="256">
        <f>K14</f>
        <v>269713.13270983926</v>
      </c>
      <c r="L15" s="256">
        <f>L14</f>
        <v>267430.1428332407</v>
      </c>
      <c r="M15" s="256">
        <f>M14</f>
        <v>265150.6490574604</v>
      </c>
      <c r="N15" s="252"/>
      <c r="O15" s="257" t="s">
        <v>153</v>
      </c>
      <c r="P15" s="237"/>
    </row>
    <row r="16" spans="2:16" ht="15.75" customHeight="1">
      <c r="B16" s="253"/>
      <c r="C16" s="246" t="s">
        <v>58</v>
      </c>
      <c r="D16" s="246"/>
      <c r="E16" s="246"/>
      <c r="F16" s="246"/>
      <c r="G16" s="246"/>
      <c r="H16" s="240"/>
      <c r="I16" s="240"/>
      <c r="J16" s="240"/>
      <c r="K16" s="240"/>
      <c r="L16" s="240"/>
      <c r="M16" s="240"/>
      <c r="N16" s="240"/>
      <c r="O16" s="240"/>
      <c r="P16" s="237"/>
    </row>
    <row r="17" spans="2:16" ht="15.75" customHeight="1" hidden="1">
      <c r="B17" s="253">
        <v>2</v>
      </c>
      <c r="C17" s="246" t="s">
        <v>59</v>
      </c>
      <c r="D17" s="246"/>
      <c r="E17" s="246"/>
      <c r="F17" s="246"/>
      <c r="G17" s="246"/>
      <c r="H17" s="240">
        <v>245057.84985110158</v>
      </c>
      <c r="I17" s="240">
        <v>253995.46779164937</v>
      </c>
      <c r="J17" s="240">
        <v>256956.0083233872</v>
      </c>
      <c r="K17" s="240">
        <v>259795.81896686697</v>
      </c>
      <c r="L17" s="240">
        <v>258165.24940849195</v>
      </c>
      <c r="M17" s="240">
        <v>256537.17685442945</v>
      </c>
      <c r="N17" s="252"/>
      <c r="O17" s="254" t="s">
        <v>209</v>
      </c>
      <c r="P17" s="237"/>
    </row>
    <row r="18" spans="2:16" ht="15.75" customHeight="1">
      <c r="B18" s="253" t="s">
        <v>136</v>
      </c>
      <c r="C18" s="246" t="s">
        <v>59</v>
      </c>
      <c r="D18" s="246"/>
      <c r="E18" s="246"/>
      <c r="F18" s="246"/>
      <c r="G18" s="246"/>
      <c r="H18" s="240">
        <f>'[2]Customer'!$I$2712</f>
        <v>268634.40486909216</v>
      </c>
      <c r="I18" s="240">
        <f>'[2]Customer'!$J$2712</f>
        <v>269874.77103586064</v>
      </c>
      <c r="J18" s="240">
        <f>'[2]Customer'!$K$2712</f>
        <v>270773.60717194784</v>
      </c>
      <c r="K18" s="256">
        <f>K17</f>
        <v>259795.81896686697</v>
      </c>
      <c r="L18" s="256">
        <f>L17</f>
        <v>258165.24940849195</v>
      </c>
      <c r="M18" s="256">
        <f>M17</f>
        <v>256537.17685442945</v>
      </c>
      <c r="N18" s="252"/>
      <c r="O18" s="257" t="s">
        <v>153</v>
      </c>
      <c r="P18" s="237"/>
    </row>
    <row r="19" spans="2:16" ht="15.75" customHeight="1" hidden="1">
      <c r="B19" s="253">
        <v>3</v>
      </c>
      <c r="C19" s="246" t="s">
        <v>60</v>
      </c>
      <c r="D19" s="246"/>
      <c r="E19" s="246"/>
      <c r="F19" s="246"/>
      <c r="G19" s="246"/>
      <c r="H19" s="240">
        <v>161670.93546350516</v>
      </c>
      <c r="I19" s="240">
        <v>169437.84361172016</v>
      </c>
      <c r="J19" s="240">
        <v>172310.87513892236</v>
      </c>
      <c r="K19" s="240">
        <v>174973.8208043501</v>
      </c>
      <c r="L19" s="240">
        <v>173929.36991106212</v>
      </c>
      <c r="M19" s="240">
        <v>172896.5926343523</v>
      </c>
      <c r="N19" s="252"/>
      <c r="O19" s="254" t="s">
        <v>209</v>
      </c>
      <c r="P19" s="237"/>
    </row>
    <row r="20" spans="2:16" ht="15.75" customHeight="1">
      <c r="B20" s="253" t="s">
        <v>137</v>
      </c>
      <c r="C20" s="246" t="s">
        <v>60</v>
      </c>
      <c r="D20" s="246"/>
      <c r="E20" s="246"/>
      <c r="F20" s="246"/>
      <c r="G20" s="246"/>
      <c r="H20" s="258">
        <f>'[2]Customer'!$I$2718</f>
        <v>176436.28220849912</v>
      </c>
      <c r="I20" s="258">
        <f>'[2]Customer'!$J$2715</f>
        <v>176835.06882249724</v>
      </c>
      <c r="J20" s="258">
        <f>'[2]Customer'!$K$2715</f>
        <v>175988.7072231747</v>
      </c>
      <c r="K20" s="256">
        <f>K19</f>
        <v>174973.8208043501</v>
      </c>
      <c r="L20" s="256">
        <f>L19</f>
        <v>173929.36991106212</v>
      </c>
      <c r="M20" s="256">
        <f>M19</f>
        <v>172896.5926343523</v>
      </c>
      <c r="N20" s="252"/>
      <c r="O20" s="257" t="s">
        <v>153</v>
      </c>
      <c r="P20" s="237"/>
    </row>
    <row r="21" spans="2:16" ht="2.25" customHeight="1">
      <c r="B21" s="241"/>
      <c r="C21" s="241"/>
      <c r="D21" s="241"/>
      <c r="E21" s="241"/>
      <c r="F21" s="241"/>
      <c r="G21" s="241"/>
      <c r="H21" s="242"/>
      <c r="I21" s="242"/>
      <c r="J21" s="242"/>
      <c r="K21" s="242"/>
      <c r="L21" s="242"/>
      <c r="M21" s="242"/>
      <c r="N21" s="242"/>
      <c r="O21" s="242"/>
      <c r="P21" s="237"/>
    </row>
    <row r="22" spans="2:16" ht="15.75" customHeight="1" hidden="1">
      <c r="B22" s="253">
        <v>4</v>
      </c>
      <c r="C22" s="259" t="s">
        <v>61</v>
      </c>
      <c r="D22" s="259"/>
      <c r="E22" s="259"/>
      <c r="F22" s="259"/>
      <c r="G22" s="259"/>
      <c r="H22" s="240">
        <f aca="true" t="shared" si="0" ref="H22:M22">ROUND(H17,2)+ROUND(H19,2)</f>
        <v>406728.79000000004</v>
      </c>
      <c r="I22" s="240">
        <f t="shared" si="0"/>
        <v>423433.31</v>
      </c>
      <c r="J22" s="240">
        <f t="shared" si="0"/>
        <v>429266.89</v>
      </c>
      <c r="K22" s="240">
        <f>ROUND(K17,2)+ROUND(K19,2)</f>
        <v>434769.64</v>
      </c>
      <c r="L22" s="240">
        <f t="shared" si="0"/>
        <v>432094.62</v>
      </c>
      <c r="M22" s="240">
        <f t="shared" si="0"/>
        <v>429433.77</v>
      </c>
      <c r="N22" s="260"/>
      <c r="O22" s="254" t="s">
        <v>217</v>
      </c>
      <c r="P22" s="237"/>
    </row>
    <row r="23" spans="2:16" ht="15.75" customHeight="1">
      <c r="B23" s="253" t="s">
        <v>138</v>
      </c>
      <c r="C23" s="246" t="s">
        <v>61</v>
      </c>
      <c r="D23" s="246"/>
      <c r="E23" s="246"/>
      <c r="F23" s="246"/>
      <c r="G23" s="246"/>
      <c r="H23" s="261">
        <f aca="true" t="shared" si="1" ref="H23:M23">H18+H20</f>
        <v>445070.6870775913</v>
      </c>
      <c r="I23" s="261">
        <f t="shared" si="1"/>
        <v>446709.8398583579</v>
      </c>
      <c r="J23" s="261">
        <f>J18+J20</f>
        <v>446762.3143951225</v>
      </c>
      <c r="K23" s="262">
        <f>K18+K20</f>
        <v>434769.6397712171</v>
      </c>
      <c r="L23" s="262">
        <f t="shared" si="1"/>
        <v>432094.61931955407</v>
      </c>
      <c r="M23" s="262">
        <f t="shared" si="1"/>
        <v>429433.76948878175</v>
      </c>
      <c r="N23" s="252"/>
      <c r="O23" s="254" t="s">
        <v>218</v>
      </c>
      <c r="P23" s="237"/>
    </row>
    <row r="24" spans="2:16" ht="15.75" customHeight="1" hidden="1">
      <c r="B24" s="253">
        <v>5</v>
      </c>
      <c r="C24" s="246" t="s">
        <v>62</v>
      </c>
      <c r="D24" s="246"/>
      <c r="E24" s="246"/>
      <c r="F24" s="246"/>
      <c r="G24" s="246"/>
      <c r="H24" s="240">
        <f aca="true" t="shared" si="2" ref="H24:M24">ROUND(H14,2)+H22</f>
        <v>659799.8300000001</v>
      </c>
      <c r="I24" s="240">
        <f t="shared" si="2"/>
        <v>687026.39</v>
      </c>
      <c r="J24" s="240">
        <f t="shared" si="2"/>
        <v>696010.27</v>
      </c>
      <c r="K24" s="240">
        <f>ROUND(K14,2)+K22</f>
        <v>704482.77</v>
      </c>
      <c r="L24" s="240">
        <f t="shared" si="2"/>
        <v>699524.76</v>
      </c>
      <c r="M24" s="240">
        <f t="shared" si="2"/>
        <v>694584.42</v>
      </c>
      <c r="N24" s="252"/>
      <c r="O24" s="254" t="s">
        <v>219</v>
      </c>
      <c r="P24" s="237"/>
    </row>
    <row r="25" spans="2:16" ht="15.75" customHeight="1">
      <c r="B25" s="253" t="s">
        <v>139</v>
      </c>
      <c r="C25" s="246" t="s">
        <v>62</v>
      </c>
      <c r="D25" s="246"/>
      <c r="E25" s="246"/>
      <c r="F25" s="246"/>
      <c r="G25" s="246"/>
      <c r="H25" s="250">
        <f aca="true" t="shared" si="3" ref="H25:M25">H23+H15</f>
        <v>726672.1239443806</v>
      </c>
      <c r="I25" s="250">
        <f t="shared" si="3"/>
        <v>729860.1968075901</v>
      </c>
      <c r="J25" s="250">
        <f>J23+J15</f>
        <v>731015.5403803074</v>
      </c>
      <c r="K25" s="262">
        <f>K23+K15</f>
        <v>704482.7724810564</v>
      </c>
      <c r="L25" s="262">
        <f t="shared" si="3"/>
        <v>699524.7621527947</v>
      </c>
      <c r="M25" s="262">
        <f t="shared" si="3"/>
        <v>694584.4185462422</v>
      </c>
      <c r="N25" s="252"/>
      <c r="O25" s="254" t="s">
        <v>220</v>
      </c>
      <c r="P25" s="237"/>
    </row>
    <row r="26" spans="2:16" ht="15.75" customHeight="1">
      <c r="B26" s="253" t="s">
        <v>213</v>
      </c>
      <c r="C26" s="246" t="s">
        <v>214</v>
      </c>
      <c r="D26" s="246"/>
      <c r="E26" s="246"/>
      <c r="F26" s="246"/>
      <c r="G26" s="246"/>
      <c r="H26" s="247">
        <f aca="true" t="shared" si="4" ref="H26:M26">H25-H24</f>
        <v>66872.29394438048</v>
      </c>
      <c r="I26" s="247">
        <f t="shared" si="4"/>
        <v>42833.80680759007</v>
      </c>
      <c r="J26" s="247">
        <f t="shared" si="4"/>
        <v>35005.27038030734</v>
      </c>
      <c r="K26" s="244">
        <f t="shared" si="4"/>
        <v>0.0024810563772916794</v>
      </c>
      <c r="L26" s="244">
        <f t="shared" si="4"/>
        <v>0.0021527947392314672</v>
      </c>
      <c r="M26" s="244">
        <f t="shared" si="4"/>
        <v>-0.0014537578681483865</v>
      </c>
      <c r="N26" s="252"/>
      <c r="O26" s="263" t="s">
        <v>358</v>
      </c>
      <c r="P26" s="237"/>
    </row>
    <row r="27" spans="1:16" ht="15.75" customHeight="1">
      <c r="A27" s="5"/>
      <c r="B27" s="245"/>
      <c r="C27" s="245" t="s">
        <v>63</v>
      </c>
      <c r="D27" s="245"/>
      <c r="E27" s="245"/>
      <c r="F27" s="245"/>
      <c r="G27" s="245"/>
      <c r="H27" s="245"/>
      <c r="I27" s="245"/>
      <c r="J27" s="245"/>
      <c r="K27" s="245"/>
      <c r="L27" s="245"/>
      <c r="M27" s="245"/>
      <c r="N27" s="245"/>
      <c r="O27" s="245"/>
      <c r="P27" s="237"/>
    </row>
    <row r="28" spans="1:16" ht="15.75" customHeight="1" hidden="1">
      <c r="A28" s="5"/>
      <c r="B28" s="253">
        <v>6</v>
      </c>
      <c r="C28" s="259" t="s">
        <v>64</v>
      </c>
      <c r="D28" s="259"/>
      <c r="E28" s="259"/>
      <c r="F28" s="246"/>
      <c r="G28" s="246"/>
      <c r="H28" s="250">
        <v>6722.058513082444</v>
      </c>
      <c r="I28" s="250">
        <v>10088.544708978721</v>
      </c>
      <c r="J28" s="250">
        <v>10008.085499700817</v>
      </c>
      <c r="K28" s="250">
        <v>9931.011370472828</v>
      </c>
      <c r="L28" s="250">
        <v>9854.174851482847</v>
      </c>
      <c r="M28" s="250">
        <v>9777.565830547524</v>
      </c>
      <c r="N28" s="239"/>
      <c r="O28" s="254" t="s">
        <v>209</v>
      </c>
      <c r="P28" s="237"/>
    </row>
    <row r="29" spans="1:16" ht="15.75" customHeight="1">
      <c r="A29" s="5"/>
      <c r="B29" s="253" t="s">
        <v>154</v>
      </c>
      <c r="C29" s="246" t="s">
        <v>64</v>
      </c>
      <c r="D29" s="246"/>
      <c r="E29" s="246"/>
      <c r="F29" s="246"/>
      <c r="G29" s="246"/>
      <c r="H29" s="240">
        <f aca="true" t="shared" si="5" ref="H29:M29">ROUND(H28,2)</f>
        <v>6722.06</v>
      </c>
      <c r="I29" s="240">
        <f t="shared" si="5"/>
        <v>10088.54</v>
      </c>
      <c r="J29" s="240">
        <f t="shared" si="5"/>
        <v>10008.09</v>
      </c>
      <c r="K29" s="240">
        <f t="shared" si="5"/>
        <v>9931.01</v>
      </c>
      <c r="L29" s="240">
        <f t="shared" si="5"/>
        <v>9854.17</v>
      </c>
      <c r="M29" s="240">
        <f t="shared" si="5"/>
        <v>9777.57</v>
      </c>
      <c r="N29" s="239"/>
      <c r="O29" s="264" t="s">
        <v>212</v>
      </c>
      <c r="P29" s="237"/>
    </row>
    <row r="30" spans="1:16" ht="15.75" customHeight="1" hidden="1">
      <c r="A30" s="5"/>
      <c r="B30" s="253">
        <v>7</v>
      </c>
      <c r="C30" s="259" t="s">
        <v>65</v>
      </c>
      <c r="D30" s="259"/>
      <c r="E30" s="259"/>
      <c r="F30" s="246"/>
      <c r="G30" s="246"/>
      <c r="H30" s="250">
        <v>1650</v>
      </c>
      <c r="I30" s="250">
        <v>1650</v>
      </c>
      <c r="J30" s="250">
        <v>1650</v>
      </c>
      <c r="K30" s="250">
        <v>1650</v>
      </c>
      <c r="L30" s="250">
        <v>1650</v>
      </c>
      <c r="M30" s="250">
        <v>1650</v>
      </c>
      <c r="N30" s="239"/>
      <c r="O30" s="264" t="s">
        <v>209</v>
      </c>
      <c r="P30" s="237"/>
    </row>
    <row r="31" spans="1:16" ht="15.75" customHeight="1">
      <c r="A31" s="5"/>
      <c r="B31" s="253" t="s">
        <v>155</v>
      </c>
      <c r="C31" s="246" t="s">
        <v>65</v>
      </c>
      <c r="D31" s="246"/>
      <c r="E31" s="246"/>
      <c r="F31" s="246"/>
      <c r="G31" s="246"/>
      <c r="H31" s="240">
        <f aca="true" t="shared" si="6" ref="H31:M31">H30</f>
        <v>1650</v>
      </c>
      <c r="I31" s="240">
        <f t="shared" si="6"/>
        <v>1650</v>
      </c>
      <c r="J31" s="240">
        <f t="shared" si="6"/>
        <v>1650</v>
      </c>
      <c r="K31" s="240">
        <f t="shared" si="6"/>
        <v>1650</v>
      </c>
      <c r="L31" s="240">
        <f t="shared" si="6"/>
        <v>1650</v>
      </c>
      <c r="M31" s="240">
        <f t="shared" si="6"/>
        <v>1650</v>
      </c>
      <c r="N31" s="239"/>
      <c r="O31" s="264" t="s">
        <v>212</v>
      </c>
      <c r="P31" s="237"/>
    </row>
    <row r="32" spans="1:16" ht="15.75" customHeight="1" hidden="1">
      <c r="A32" s="5"/>
      <c r="B32" s="253">
        <v>8</v>
      </c>
      <c r="C32" s="246" t="s">
        <v>66</v>
      </c>
      <c r="D32" s="246"/>
      <c r="E32" s="246"/>
      <c r="F32" s="246"/>
      <c r="G32" s="246"/>
      <c r="H32" s="250">
        <v>9963</v>
      </c>
      <c r="I32" s="250">
        <v>9963</v>
      </c>
      <c r="J32" s="250">
        <v>9963</v>
      </c>
      <c r="K32" s="250">
        <v>9963</v>
      </c>
      <c r="L32" s="250">
        <v>9963</v>
      </c>
      <c r="M32" s="250">
        <v>9963</v>
      </c>
      <c r="N32" s="265"/>
      <c r="O32" s="264" t="s">
        <v>209</v>
      </c>
      <c r="P32" s="237"/>
    </row>
    <row r="33" spans="1:16" ht="15.75" customHeight="1">
      <c r="A33" s="5"/>
      <c r="B33" s="253" t="s">
        <v>156</v>
      </c>
      <c r="C33" s="246" t="s">
        <v>66</v>
      </c>
      <c r="D33" s="246"/>
      <c r="E33" s="246"/>
      <c r="F33" s="246"/>
      <c r="G33" s="246"/>
      <c r="H33" s="240">
        <f aca="true" t="shared" si="7" ref="H33:M33">H32</f>
        <v>9963</v>
      </c>
      <c r="I33" s="240">
        <f t="shared" si="7"/>
        <v>9963</v>
      </c>
      <c r="J33" s="240">
        <f t="shared" si="7"/>
        <v>9963</v>
      </c>
      <c r="K33" s="240">
        <f t="shared" si="7"/>
        <v>9963</v>
      </c>
      <c r="L33" s="240">
        <f t="shared" si="7"/>
        <v>9963</v>
      </c>
      <c r="M33" s="240">
        <f t="shared" si="7"/>
        <v>9963</v>
      </c>
      <c r="N33" s="265"/>
      <c r="O33" s="264" t="s">
        <v>153</v>
      </c>
      <c r="P33" s="237"/>
    </row>
    <row r="34" spans="1:16" ht="15.75" customHeight="1" hidden="1">
      <c r="A34" s="5"/>
      <c r="B34" s="253">
        <v>9</v>
      </c>
      <c r="C34" s="259" t="s">
        <v>67</v>
      </c>
      <c r="D34" s="259"/>
      <c r="E34" s="259"/>
      <c r="F34" s="246"/>
      <c r="G34" s="246"/>
      <c r="H34" s="250">
        <v>1000</v>
      </c>
      <c r="I34" s="250">
        <v>1000</v>
      </c>
      <c r="J34" s="250">
        <v>1000</v>
      </c>
      <c r="K34" s="250">
        <v>1000</v>
      </c>
      <c r="L34" s="250">
        <v>1000</v>
      </c>
      <c r="M34" s="250">
        <v>1000</v>
      </c>
      <c r="N34" s="239"/>
      <c r="O34" s="264" t="s">
        <v>209</v>
      </c>
      <c r="P34" s="237"/>
    </row>
    <row r="35" spans="1:16" ht="15.75" customHeight="1">
      <c r="A35" s="5"/>
      <c r="B35" s="253" t="s">
        <v>157</v>
      </c>
      <c r="C35" s="246" t="s">
        <v>67</v>
      </c>
      <c r="D35" s="246"/>
      <c r="E35" s="246"/>
      <c r="F35" s="246"/>
      <c r="G35" s="246"/>
      <c r="H35" s="240">
        <f aca="true" t="shared" si="8" ref="H35:M35">H34</f>
        <v>1000</v>
      </c>
      <c r="I35" s="240">
        <f t="shared" si="8"/>
        <v>1000</v>
      </c>
      <c r="J35" s="240">
        <f t="shared" si="8"/>
        <v>1000</v>
      </c>
      <c r="K35" s="240">
        <f t="shared" si="8"/>
        <v>1000</v>
      </c>
      <c r="L35" s="240">
        <f t="shared" si="8"/>
        <v>1000</v>
      </c>
      <c r="M35" s="240">
        <f t="shared" si="8"/>
        <v>1000</v>
      </c>
      <c r="N35" s="239"/>
      <c r="O35" s="264" t="s">
        <v>212</v>
      </c>
      <c r="P35" s="237"/>
    </row>
    <row r="36" spans="1:16" ht="15.75" customHeight="1" hidden="1">
      <c r="A36" s="5"/>
      <c r="B36" s="253">
        <v>10</v>
      </c>
      <c r="C36" s="259" t="s">
        <v>68</v>
      </c>
      <c r="D36" s="259"/>
      <c r="E36" s="259"/>
      <c r="F36" s="246"/>
      <c r="G36" s="246"/>
      <c r="H36" s="250">
        <v>5800</v>
      </c>
      <c r="I36" s="250">
        <v>5800</v>
      </c>
      <c r="J36" s="250">
        <v>5800</v>
      </c>
      <c r="K36" s="250">
        <v>5800</v>
      </c>
      <c r="L36" s="250">
        <v>5800</v>
      </c>
      <c r="M36" s="250">
        <v>5800</v>
      </c>
      <c r="N36" s="239"/>
      <c r="O36" s="264" t="s">
        <v>209</v>
      </c>
      <c r="P36" s="237"/>
    </row>
    <row r="37" spans="1:16" ht="15.75" customHeight="1">
      <c r="A37" s="5"/>
      <c r="B37" s="253" t="s">
        <v>158</v>
      </c>
      <c r="C37" s="246" t="s">
        <v>68</v>
      </c>
      <c r="D37" s="246"/>
      <c r="E37" s="246"/>
      <c r="F37" s="246"/>
      <c r="G37" s="246"/>
      <c r="H37" s="240">
        <f aca="true" t="shared" si="9" ref="H37:M37">H36</f>
        <v>5800</v>
      </c>
      <c r="I37" s="240">
        <f t="shared" si="9"/>
        <v>5800</v>
      </c>
      <c r="J37" s="240">
        <f t="shared" si="9"/>
        <v>5800</v>
      </c>
      <c r="K37" s="240">
        <f t="shared" si="9"/>
        <v>5800</v>
      </c>
      <c r="L37" s="240">
        <f t="shared" si="9"/>
        <v>5800</v>
      </c>
      <c r="M37" s="240">
        <f t="shared" si="9"/>
        <v>5800</v>
      </c>
      <c r="N37" s="239"/>
      <c r="O37" s="264" t="s">
        <v>212</v>
      </c>
      <c r="P37" s="237"/>
    </row>
    <row r="38" spans="1:16" ht="15.75" customHeight="1" hidden="1">
      <c r="A38" s="5"/>
      <c r="B38" s="253">
        <v>11</v>
      </c>
      <c r="C38" s="259" t="s">
        <v>69</v>
      </c>
      <c r="D38" s="259"/>
      <c r="E38" s="259"/>
      <c r="F38" s="246"/>
      <c r="G38" s="246"/>
      <c r="H38" s="250">
        <v>390</v>
      </c>
      <c r="I38" s="250">
        <v>390</v>
      </c>
      <c r="J38" s="250">
        <v>390</v>
      </c>
      <c r="K38" s="250">
        <v>390</v>
      </c>
      <c r="L38" s="250">
        <v>390</v>
      </c>
      <c r="M38" s="250">
        <v>390</v>
      </c>
      <c r="N38" s="239"/>
      <c r="O38" s="264" t="s">
        <v>209</v>
      </c>
      <c r="P38" s="237"/>
    </row>
    <row r="39" spans="1:16" ht="15.75" customHeight="1">
      <c r="A39" s="5"/>
      <c r="B39" s="253" t="s">
        <v>159</v>
      </c>
      <c r="C39" s="246" t="s">
        <v>69</v>
      </c>
      <c r="D39" s="246"/>
      <c r="E39" s="246"/>
      <c r="F39" s="246"/>
      <c r="G39" s="246"/>
      <c r="H39" s="240">
        <f aca="true" t="shared" si="10" ref="H39:M39">H38</f>
        <v>390</v>
      </c>
      <c r="I39" s="240">
        <f t="shared" si="10"/>
        <v>390</v>
      </c>
      <c r="J39" s="240">
        <f t="shared" si="10"/>
        <v>390</v>
      </c>
      <c r="K39" s="240">
        <f t="shared" si="10"/>
        <v>390</v>
      </c>
      <c r="L39" s="240">
        <f t="shared" si="10"/>
        <v>390</v>
      </c>
      <c r="M39" s="240">
        <f t="shared" si="10"/>
        <v>390</v>
      </c>
      <c r="N39" s="239"/>
      <c r="O39" s="264" t="s">
        <v>212</v>
      </c>
      <c r="P39" s="237"/>
    </row>
    <row r="40" spans="1:16" ht="15.75" customHeight="1" hidden="1">
      <c r="A40" s="5"/>
      <c r="B40" s="433" t="s">
        <v>428</v>
      </c>
      <c r="C40" s="433"/>
      <c r="D40" s="433"/>
      <c r="E40" s="433"/>
      <c r="F40" s="433"/>
      <c r="G40" s="433"/>
      <c r="H40" s="433"/>
      <c r="I40" s="433"/>
      <c r="J40" s="433"/>
      <c r="K40" s="433"/>
      <c r="L40" s="433"/>
      <c r="M40" s="433"/>
      <c r="N40" s="433"/>
      <c r="O40" s="433"/>
      <c r="P40" s="237"/>
    </row>
    <row r="41" spans="1:16" ht="15.75" customHeight="1" hidden="1">
      <c r="A41" s="5"/>
      <c r="B41" s="433"/>
      <c r="C41" s="433"/>
      <c r="D41" s="433"/>
      <c r="E41" s="433"/>
      <c r="F41" s="433"/>
      <c r="G41" s="433"/>
      <c r="H41" s="433"/>
      <c r="I41" s="433"/>
      <c r="J41" s="433"/>
      <c r="K41" s="433"/>
      <c r="L41" s="433"/>
      <c r="M41" s="433"/>
      <c r="N41" s="433"/>
      <c r="O41" s="433"/>
      <c r="P41" s="237"/>
    </row>
    <row r="42" spans="1:16" ht="15.75" customHeight="1" hidden="1">
      <c r="A42" s="5"/>
      <c r="B42" s="433"/>
      <c r="C42" s="433"/>
      <c r="D42" s="433"/>
      <c r="E42" s="433"/>
      <c r="F42" s="433"/>
      <c r="G42" s="433"/>
      <c r="H42" s="433"/>
      <c r="I42" s="433"/>
      <c r="J42" s="433"/>
      <c r="K42" s="433"/>
      <c r="L42" s="433"/>
      <c r="M42" s="433"/>
      <c r="N42" s="433"/>
      <c r="O42" s="433"/>
      <c r="P42" s="237"/>
    </row>
    <row r="43" spans="1:16" ht="15.75" customHeight="1" hidden="1">
      <c r="A43" s="5"/>
      <c r="B43" s="433"/>
      <c r="C43" s="433"/>
      <c r="D43" s="433"/>
      <c r="E43" s="433"/>
      <c r="F43" s="433"/>
      <c r="G43" s="433"/>
      <c r="H43" s="433"/>
      <c r="I43" s="433"/>
      <c r="J43" s="433"/>
      <c r="K43" s="433"/>
      <c r="L43" s="433"/>
      <c r="M43" s="433"/>
      <c r="N43" s="433"/>
      <c r="O43" s="433"/>
      <c r="P43" s="237"/>
    </row>
    <row r="44" spans="1:16" ht="19.5" customHeight="1" hidden="1">
      <c r="A44" s="5"/>
      <c r="B44" s="433"/>
      <c r="C44" s="433"/>
      <c r="D44" s="433"/>
      <c r="E44" s="433"/>
      <c r="F44" s="433"/>
      <c r="G44" s="433"/>
      <c r="H44" s="433"/>
      <c r="I44" s="433"/>
      <c r="J44" s="433"/>
      <c r="K44" s="433"/>
      <c r="L44" s="433"/>
      <c r="M44" s="433"/>
      <c r="N44" s="433"/>
      <c r="O44" s="433"/>
      <c r="P44" s="237"/>
    </row>
    <row r="45" spans="1:16" ht="15.75" customHeight="1" hidden="1">
      <c r="A45" s="5"/>
      <c r="B45" s="253">
        <v>12</v>
      </c>
      <c r="C45" s="259" t="s">
        <v>70</v>
      </c>
      <c r="D45" s="259"/>
      <c r="E45" s="259"/>
      <c r="F45" s="246"/>
      <c r="G45" s="246"/>
      <c r="H45" s="250">
        <v>300</v>
      </c>
      <c r="I45" s="250">
        <v>300</v>
      </c>
      <c r="J45" s="250">
        <v>300</v>
      </c>
      <c r="K45" s="250">
        <v>300</v>
      </c>
      <c r="L45" s="250">
        <v>300</v>
      </c>
      <c r="M45" s="250">
        <v>300</v>
      </c>
      <c r="N45" s="239"/>
      <c r="O45" s="264" t="s">
        <v>209</v>
      </c>
      <c r="P45" s="237"/>
    </row>
    <row r="46" spans="1:16" ht="15.75" customHeight="1">
      <c r="A46" s="5"/>
      <c r="B46" s="253" t="s">
        <v>160</v>
      </c>
      <c r="C46" s="246" t="s">
        <v>70</v>
      </c>
      <c r="D46" s="246"/>
      <c r="E46" s="246"/>
      <c r="F46" s="246"/>
      <c r="G46" s="246"/>
      <c r="H46" s="240">
        <f aca="true" t="shared" si="11" ref="H46:M46">H45</f>
        <v>300</v>
      </c>
      <c r="I46" s="240">
        <f t="shared" si="11"/>
        <v>300</v>
      </c>
      <c r="J46" s="240">
        <f t="shared" si="11"/>
        <v>300</v>
      </c>
      <c r="K46" s="240">
        <f t="shared" si="11"/>
        <v>300</v>
      </c>
      <c r="L46" s="240">
        <f t="shared" si="11"/>
        <v>300</v>
      </c>
      <c r="M46" s="240">
        <f t="shared" si="11"/>
        <v>300</v>
      </c>
      <c r="N46" s="239"/>
      <c r="O46" s="264" t="s">
        <v>212</v>
      </c>
      <c r="P46" s="237"/>
    </row>
    <row r="47" spans="1:16" ht="15.75" customHeight="1" hidden="1">
      <c r="A47" s="5"/>
      <c r="B47" s="253">
        <v>13</v>
      </c>
      <c r="C47" s="246" t="s">
        <v>71</v>
      </c>
      <c r="D47" s="246"/>
      <c r="E47" s="246"/>
      <c r="F47" s="246"/>
      <c r="G47" s="246"/>
      <c r="H47" s="250">
        <v>0</v>
      </c>
      <c r="I47" s="250">
        <v>0</v>
      </c>
      <c r="J47" s="250">
        <v>0</v>
      </c>
      <c r="K47" s="250">
        <v>0</v>
      </c>
      <c r="L47" s="250">
        <v>0</v>
      </c>
      <c r="M47" s="250">
        <v>0</v>
      </c>
      <c r="N47" s="239"/>
      <c r="O47" s="264" t="s">
        <v>209</v>
      </c>
      <c r="P47" s="237"/>
    </row>
    <row r="48" spans="1:16" ht="15.75" customHeight="1">
      <c r="A48" s="5"/>
      <c r="B48" s="253" t="s">
        <v>161</v>
      </c>
      <c r="C48" s="246" t="s">
        <v>71</v>
      </c>
      <c r="D48" s="246"/>
      <c r="E48" s="246"/>
      <c r="F48" s="246"/>
      <c r="G48" s="246"/>
      <c r="H48" s="240">
        <f aca="true" t="shared" si="12" ref="H48:M48">H47</f>
        <v>0</v>
      </c>
      <c r="I48" s="240">
        <f t="shared" si="12"/>
        <v>0</v>
      </c>
      <c r="J48" s="240">
        <f t="shared" si="12"/>
        <v>0</v>
      </c>
      <c r="K48" s="240">
        <f t="shared" si="12"/>
        <v>0</v>
      </c>
      <c r="L48" s="240">
        <f t="shared" si="12"/>
        <v>0</v>
      </c>
      <c r="M48" s="240">
        <f t="shared" si="12"/>
        <v>0</v>
      </c>
      <c r="N48" s="239"/>
      <c r="O48" s="264" t="s">
        <v>153</v>
      </c>
      <c r="P48" s="237"/>
    </row>
    <row r="49" spans="1:16" ht="15.75" customHeight="1" hidden="1">
      <c r="A49" s="5"/>
      <c r="B49" s="253">
        <v>14</v>
      </c>
      <c r="C49" s="259" t="s">
        <v>369</v>
      </c>
      <c r="D49" s="259"/>
      <c r="E49" s="259"/>
      <c r="F49" s="246"/>
      <c r="G49" s="246"/>
      <c r="H49" s="250">
        <f>ROUND(-'C-7,8,9 CIP - Debt Service'!H139,2)</f>
        <v>19807.86</v>
      </c>
      <c r="I49" s="250">
        <f>ROUND(-'C-7,8,9 CIP - Debt Service'!I139,2)</f>
        <v>0</v>
      </c>
      <c r="J49" s="250">
        <f>ROUND(-'C-7,8,9 CIP - Debt Service'!J139,2)</f>
        <v>0</v>
      </c>
      <c r="K49" s="250">
        <f>ROUND(-'C-7,8,9 CIP - Debt Service'!K139,2)</f>
        <v>0</v>
      </c>
      <c r="L49" s="250">
        <f>ROUND(-'C-7,8,9 CIP - Debt Service'!L139,2)</f>
        <v>0</v>
      </c>
      <c r="M49" s="250">
        <f>ROUND(-'C-7,8,9 CIP - Debt Service'!M139,2)</f>
        <v>0</v>
      </c>
      <c r="N49" s="239"/>
      <c r="O49" s="264" t="s">
        <v>240</v>
      </c>
      <c r="P49" s="237"/>
    </row>
    <row r="50" spans="1:16" ht="15.75" customHeight="1">
      <c r="A50" s="5"/>
      <c r="B50" s="253" t="s">
        <v>150</v>
      </c>
      <c r="C50" s="246" t="s">
        <v>369</v>
      </c>
      <c r="D50" s="246"/>
      <c r="E50" s="246"/>
      <c r="F50" s="246"/>
      <c r="G50" s="246"/>
      <c r="H50" s="240">
        <f aca="true" t="shared" si="13" ref="H50:M50">H49</f>
        <v>19807.86</v>
      </c>
      <c r="I50" s="240">
        <f t="shared" si="13"/>
        <v>0</v>
      </c>
      <c r="J50" s="240">
        <f t="shared" si="13"/>
        <v>0</v>
      </c>
      <c r="K50" s="240">
        <f t="shared" si="13"/>
        <v>0</v>
      </c>
      <c r="L50" s="240">
        <f t="shared" si="13"/>
        <v>0</v>
      </c>
      <c r="M50" s="240">
        <f t="shared" si="13"/>
        <v>0</v>
      </c>
      <c r="N50" s="239"/>
      <c r="O50" s="264" t="s">
        <v>212</v>
      </c>
      <c r="P50" s="237"/>
    </row>
    <row r="51" spans="1:16" ht="15.75" customHeight="1" hidden="1">
      <c r="A51" s="5"/>
      <c r="B51" s="253">
        <v>15</v>
      </c>
      <c r="C51" s="246" t="s">
        <v>72</v>
      </c>
      <c r="D51" s="246"/>
      <c r="E51" s="246"/>
      <c r="F51" s="246"/>
      <c r="G51" s="246"/>
      <c r="H51" s="250">
        <f aca="true" t="shared" si="14" ref="H51:M52">H28+H30+H32+H34+H36+H38+H45+H47+H49</f>
        <v>45632.91851308245</v>
      </c>
      <c r="I51" s="250">
        <f t="shared" si="14"/>
        <v>29191.54470897872</v>
      </c>
      <c r="J51" s="250">
        <f t="shared" si="14"/>
        <v>29111.085499700817</v>
      </c>
      <c r="K51" s="250">
        <f t="shared" si="14"/>
        <v>29034.01137047283</v>
      </c>
      <c r="L51" s="250">
        <f t="shared" si="14"/>
        <v>28957.174851482847</v>
      </c>
      <c r="M51" s="250">
        <f t="shared" si="14"/>
        <v>28880.565830547523</v>
      </c>
      <c r="N51" s="239"/>
      <c r="O51" s="264" t="s">
        <v>221</v>
      </c>
      <c r="P51" s="237"/>
    </row>
    <row r="52" spans="1:16" ht="15.75" customHeight="1">
      <c r="A52" s="5"/>
      <c r="B52" s="253" t="s">
        <v>146</v>
      </c>
      <c r="C52" s="246" t="s">
        <v>72</v>
      </c>
      <c r="D52" s="246"/>
      <c r="E52" s="246"/>
      <c r="F52" s="246"/>
      <c r="G52" s="246"/>
      <c r="H52" s="250">
        <f t="shared" si="14"/>
        <v>45632.92</v>
      </c>
      <c r="I52" s="250">
        <f t="shared" si="14"/>
        <v>29191.54</v>
      </c>
      <c r="J52" s="250">
        <f t="shared" si="14"/>
        <v>29111.09</v>
      </c>
      <c r="K52" s="250">
        <f t="shared" si="14"/>
        <v>29034.010000000002</v>
      </c>
      <c r="L52" s="250">
        <f t="shared" si="14"/>
        <v>28957.17</v>
      </c>
      <c r="M52" s="250">
        <f t="shared" si="14"/>
        <v>28880.57</v>
      </c>
      <c r="N52" s="239"/>
      <c r="O52" s="264" t="s">
        <v>222</v>
      </c>
      <c r="P52" s="237"/>
    </row>
    <row r="53" spans="1:16" ht="15.75" customHeight="1">
      <c r="A53" s="5"/>
      <c r="B53" s="248"/>
      <c r="C53" s="248" t="s">
        <v>41</v>
      </c>
      <c r="D53" s="248"/>
      <c r="E53" s="248"/>
      <c r="F53" s="248"/>
      <c r="G53" s="248"/>
      <c r="H53" s="249"/>
      <c r="I53" s="249"/>
      <c r="J53" s="249"/>
      <c r="K53" s="249"/>
      <c r="L53" s="249"/>
      <c r="M53" s="249"/>
      <c r="N53" s="249"/>
      <c r="O53" s="249"/>
      <c r="P53" s="237"/>
    </row>
    <row r="54" spans="1:16" ht="15.75" customHeight="1" hidden="1">
      <c r="A54" s="5"/>
      <c r="B54" s="253">
        <v>16</v>
      </c>
      <c r="C54" s="259" t="s">
        <v>73</v>
      </c>
      <c r="D54" s="259"/>
      <c r="E54" s="259"/>
      <c r="F54" s="246"/>
      <c r="G54" s="246"/>
      <c r="H54" s="250">
        <v>0</v>
      </c>
      <c r="I54" s="250">
        <v>0</v>
      </c>
      <c r="J54" s="250">
        <v>0</v>
      </c>
      <c r="K54" s="250">
        <v>0</v>
      </c>
      <c r="L54" s="250">
        <v>0</v>
      </c>
      <c r="M54" s="250">
        <v>0</v>
      </c>
      <c r="N54" s="239"/>
      <c r="O54" s="264" t="s">
        <v>209</v>
      </c>
      <c r="P54" s="237"/>
    </row>
    <row r="55" spans="1:16" ht="15.75" customHeight="1">
      <c r="A55" s="5"/>
      <c r="B55" s="253" t="s">
        <v>145</v>
      </c>
      <c r="C55" s="246" t="s">
        <v>73</v>
      </c>
      <c r="D55" s="246"/>
      <c r="E55" s="246"/>
      <c r="F55" s="246"/>
      <c r="G55" s="246"/>
      <c r="H55" s="240">
        <f aca="true" t="shared" si="15" ref="H55:M55">H54</f>
        <v>0</v>
      </c>
      <c r="I55" s="240">
        <f t="shared" si="15"/>
        <v>0</v>
      </c>
      <c r="J55" s="240">
        <f t="shared" si="15"/>
        <v>0</v>
      </c>
      <c r="K55" s="240">
        <f t="shared" si="15"/>
        <v>0</v>
      </c>
      <c r="L55" s="240">
        <f t="shared" si="15"/>
        <v>0</v>
      </c>
      <c r="M55" s="240">
        <f t="shared" si="15"/>
        <v>0</v>
      </c>
      <c r="N55" s="239"/>
      <c r="O55" s="264" t="s">
        <v>212</v>
      </c>
      <c r="P55" s="237"/>
    </row>
    <row r="56" spans="1:16" ht="15.75" customHeight="1" hidden="1">
      <c r="A56" s="5"/>
      <c r="B56" s="253">
        <v>17</v>
      </c>
      <c r="C56" s="259" t="s">
        <v>74</v>
      </c>
      <c r="D56" s="259"/>
      <c r="E56" s="259"/>
      <c r="F56" s="246"/>
      <c r="G56" s="246"/>
      <c r="H56" s="250">
        <v>1071.411289020092</v>
      </c>
      <c r="I56" s="250">
        <v>1280.4656687185272</v>
      </c>
      <c r="J56" s="250">
        <v>1315.8671207237317</v>
      </c>
      <c r="K56" s="250">
        <v>1354.2786606214258</v>
      </c>
      <c r="L56" s="250">
        <v>1375.9296557914618</v>
      </c>
      <c r="M56" s="250">
        <v>1413.1742148659919</v>
      </c>
      <c r="N56" s="239"/>
      <c r="O56" s="264" t="s">
        <v>209</v>
      </c>
      <c r="P56" s="237"/>
    </row>
    <row r="57" spans="1:16" ht="15.75" customHeight="1">
      <c r="A57" s="5"/>
      <c r="B57" s="253" t="s">
        <v>162</v>
      </c>
      <c r="C57" s="246" t="s">
        <v>74</v>
      </c>
      <c r="D57" s="246"/>
      <c r="E57" s="246"/>
      <c r="F57" s="246"/>
      <c r="G57" s="246"/>
      <c r="H57" s="240">
        <f aca="true" t="shared" si="16" ref="H57:M57">ROUND(H56,2)</f>
        <v>1071.41</v>
      </c>
      <c r="I57" s="240">
        <f t="shared" si="16"/>
        <v>1280.47</v>
      </c>
      <c r="J57" s="240">
        <f t="shared" si="16"/>
        <v>1315.87</v>
      </c>
      <c r="K57" s="240">
        <f t="shared" si="16"/>
        <v>1354.28</v>
      </c>
      <c r="L57" s="240">
        <f t="shared" si="16"/>
        <v>1375.93</v>
      </c>
      <c r="M57" s="240">
        <f t="shared" si="16"/>
        <v>1413.17</v>
      </c>
      <c r="N57" s="239"/>
      <c r="O57" s="264" t="s">
        <v>212</v>
      </c>
      <c r="P57" s="237"/>
    </row>
    <row r="58" spans="1:16" ht="15.75" customHeight="1" hidden="1">
      <c r="A58" s="5"/>
      <c r="B58" s="253">
        <v>18</v>
      </c>
      <c r="C58" s="259" t="s">
        <v>75</v>
      </c>
      <c r="D58" s="259"/>
      <c r="E58" s="259"/>
      <c r="F58" s="246"/>
      <c r="G58" s="246"/>
      <c r="H58" s="250">
        <v>1298.0157515</v>
      </c>
      <c r="I58" s="250">
        <v>1089.0157515</v>
      </c>
      <c r="J58" s="250">
        <v>1092.0157515</v>
      </c>
      <c r="K58" s="250">
        <v>1109.5157515</v>
      </c>
      <c r="L58" s="250">
        <v>1126.5157515</v>
      </c>
      <c r="M58" s="250">
        <v>1132.0157515</v>
      </c>
      <c r="N58" s="239"/>
      <c r="O58" s="264" t="s">
        <v>209</v>
      </c>
      <c r="P58" s="237"/>
    </row>
    <row r="59" spans="1:16" ht="15.75" customHeight="1">
      <c r="A59" s="5"/>
      <c r="B59" s="253" t="s">
        <v>144</v>
      </c>
      <c r="C59" s="246" t="s">
        <v>75</v>
      </c>
      <c r="D59" s="246"/>
      <c r="E59" s="246"/>
      <c r="F59" s="246"/>
      <c r="G59" s="246"/>
      <c r="H59" s="240">
        <f aca="true" t="shared" si="17" ref="H59:M59">ROUND(H58,2)</f>
        <v>1298.02</v>
      </c>
      <c r="I59" s="240">
        <f t="shared" si="17"/>
        <v>1089.02</v>
      </c>
      <c r="J59" s="240">
        <f t="shared" si="17"/>
        <v>1092.02</v>
      </c>
      <c r="K59" s="240">
        <f t="shared" si="17"/>
        <v>1109.52</v>
      </c>
      <c r="L59" s="240">
        <f t="shared" si="17"/>
        <v>1126.52</v>
      </c>
      <c r="M59" s="240">
        <f t="shared" si="17"/>
        <v>1132.02</v>
      </c>
      <c r="N59" s="239"/>
      <c r="O59" s="264" t="s">
        <v>212</v>
      </c>
      <c r="P59" s="237"/>
    </row>
    <row r="60" spans="2:16" ht="2.25" customHeight="1">
      <c r="B60" s="241"/>
      <c r="C60" s="241"/>
      <c r="D60" s="241"/>
      <c r="E60" s="241"/>
      <c r="F60" s="241"/>
      <c r="G60" s="241"/>
      <c r="H60" s="242"/>
      <c r="I60" s="242"/>
      <c r="J60" s="242"/>
      <c r="K60" s="242"/>
      <c r="L60" s="242"/>
      <c r="M60" s="242"/>
      <c r="N60" s="242"/>
      <c r="O60" s="242"/>
      <c r="P60" s="237"/>
    </row>
    <row r="61" spans="1:16" ht="15.75" customHeight="1" hidden="1">
      <c r="A61" s="5"/>
      <c r="B61" s="253">
        <v>19</v>
      </c>
      <c r="C61" s="246" t="s">
        <v>76</v>
      </c>
      <c r="D61" s="246"/>
      <c r="E61" s="246"/>
      <c r="F61" s="246"/>
      <c r="G61" s="246"/>
      <c r="H61" s="250">
        <f aca="true" t="shared" si="18" ref="H61:M61">H54+ROUND(H56,2)+ROUND(H58,2)</f>
        <v>2369.4300000000003</v>
      </c>
      <c r="I61" s="250">
        <f t="shared" si="18"/>
        <v>2369.49</v>
      </c>
      <c r="J61" s="250">
        <f t="shared" si="18"/>
        <v>2407.89</v>
      </c>
      <c r="K61" s="250">
        <f t="shared" si="18"/>
        <v>2463.8</v>
      </c>
      <c r="L61" s="250">
        <f>L54+ROUND(L56,2)+ROUND(L58,2)</f>
        <v>2502.45</v>
      </c>
      <c r="M61" s="250">
        <f t="shared" si="18"/>
        <v>2545.19</v>
      </c>
      <c r="N61" s="239"/>
      <c r="O61" s="263" t="s">
        <v>359</v>
      </c>
      <c r="P61" s="237"/>
    </row>
    <row r="62" spans="1:16" ht="15.75" customHeight="1">
      <c r="A62" s="5"/>
      <c r="B62" s="253" t="s">
        <v>140</v>
      </c>
      <c r="C62" s="246" t="s">
        <v>76</v>
      </c>
      <c r="D62" s="246"/>
      <c r="E62" s="246"/>
      <c r="F62" s="246"/>
      <c r="G62" s="246"/>
      <c r="H62" s="261">
        <f aca="true" t="shared" si="19" ref="H62:M62">H55+H57+H59</f>
        <v>2369.4300000000003</v>
      </c>
      <c r="I62" s="261">
        <f t="shared" si="19"/>
        <v>2369.49</v>
      </c>
      <c r="J62" s="261">
        <f t="shared" si="19"/>
        <v>2407.89</v>
      </c>
      <c r="K62" s="250">
        <f>K55+K57+K59</f>
        <v>2463.8</v>
      </c>
      <c r="L62" s="250">
        <f t="shared" si="19"/>
        <v>2502.45</v>
      </c>
      <c r="M62" s="250">
        <f t="shared" si="19"/>
        <v>2545.19</v>
      </c>
      <c r="N62" s="239"/>
      <c r="O62" s="263" t="s">
        <v>212</v>
      </c>
      <c r="P62" s="237"/>
    </row>
    <row r="63" spans="1:16" ht="15" hidden="1">
      <c r="A63" s="5"/>
      <c r="B63" s="253">
        <v>20</v>
      </c>
      <c r="C63" s="259" t="s">
        <v>77</v>
      </c>
      <c r="D63" s="259"/>
      <c r="E63" s="259"/>
      <c r="F63" s="259"/>
      <c r="G63" s="259"/>
      <c r="H63" s="240">
        <f aca="true" t="shared" si="20" ref="H63:M64">H24+H61+H51</f>
        <v>707802.1785130826</v>
      </c>
      <c r="I63" s="240">
        <f t="shared" si="20"/>
        <v>718587.4247089787</v>
      </c>
      <c r="J63" s="240">
        <f t="shared" si="20"/>
        <v>727529.2454997009</v>
      </c>
      <c r="K63" s="240">
        <f t="shared" si="20"/>
        <v>735980.5813704729</v>
      </c>
      <c r="L63" s="240">
        <f t="shared" si="20"/>
        <v>730984.3848514828</v>
      </c>
      <c r="M63" s="240">
        <f t="shared" si="20"/>
        <v>726010.1758305475</v>
      </c>
      <c r="N63" s="239"/>
      <c r="O63" s="263" t="s">
        <v>223</v>
      </c>
      <c r="P63" s="237"/>
    </row>
    <row r="64" spans="2:16" ht="15">
      <c r="B64" s="253" t="s">
        <v>141</v>
      </c>
      <c r="C64" s="246" t="s">
        <v>77</v>
      </c>
      <c r="D64" s="246"/>
      <c r="E64" s="246"/>
      <c r="F64" s="246"/>
      <c r="G64" s="246"/>
      <c r="H64" s="295">
        <f t="shared" si="20"/>
        <v>774674.4739443806</v>
      </c>
      <c r="I64" s="295">
        <f t="shared" si="20"/>
        <v>761421.2268075901</v>
      </c>
      <c r="J64" s="295">
        <f t="shared" si="20"/>
        <v>762534.5203803073</v>
      </c>
      <c r="K64" s="250">
        <f t="shared" si="20"/>
        <v>735980.5824810565</v>
      </c>
      <c r="L64" s="250">
        <f t="shared" si="20"/>
        <v>730984.3821527947</v>
      </c>
      <c r="M64" s="250">
        <f t="shared" si="20"/>
        <v>726010.1785462421</v>
      </c>
      <c r="N64" s="267"/>
      <c r="O64" s="263" t="s">
        <v>224</v>
      </c>
      <c r="P64" s="237"/>
    </row>
    <row r="65" spans="2:16" ht="2.25" customHeight="1" hidden="1">
      <c r="B65" s="27"/>
      <c r="C65" s="28"/>
      <c r="D65" s="28"/>
      <c r="E65" s="28"/>
      <c r="F65" s="28"/>
      <c r="G65" s="28"/>
      <c r="H65" s="29"/>
      <c r="I65" s="29"/>
      <c r="J65" s="29"/>
      <c r="K65" s="29"/>
      <c r="L65" s="29"/>
      <c r="M65" s="29"/>
      <c r="N65" s="29"/>
      <c r="O65" s="29"/>
      <c r="P65"/>
    </row>
    <row r="66" spans="2:16" ht="15">
      <c r="B66" s="232" t="s">
        <v>78</v>
      </c>
      <c r="P66"/>
    </row>
    <row r="67" spans="2:15" ht="15">
      <c r="B67" s="233" t="s">
        <v>368</v>
      </c>
      <c r="K67" s="428" t="s">
        <v>411</v>
      </c>
      <c r="L67" s="429"/>
      <c r="M67" s="429"/>
      <c r="N67" s="429"/>
      <c r="O67" s="429"/>
    </row>
    <row r="68" spans="2:16" ht="15">
      <c r="B68" s="232" t="s">
        <v>79</v>
      </c>
      <c r="P68"/>
    </row>
    <row r="69" spans="2:16" ht="15">
      <c r="B69" s="232" t="s">
        <v>80</v>
      </c>
      <c r="P69"/>
    </row>
    <row r="70" spans="3:16" ht="15">
      <c r="C70" s="16"/>
      <c r="P70"/>
    </row>
    <row r="71" spans="2:16" ht="15.75" customHeight="1" hidden="1">
      <c r="B71" s="419" t="s">
        <v>414</v>
      </c>
      <c r="C71" s="420"/>
      <c r="D71" s="420"/>
      <c r="E71" s="420"/>
      <c r="F71" s="420"/>
      <c r="G71" s="420"/>
      <c r="H71" s="420"/>
      <c r="I71" s="420"/>
      <c r="J71" s="420"/>
      <c r="K71" s="420"/>
      <c r="L71" s="420"/>
      <c r="M71" s="420"/>
      <c r="N71" s="420"/>
      <c r="O71" s="421"/>
      <c r="P71"/>
    </row>
    <row r="72" spans="2:16" ht="15" hidden="1">
      <c r="B72" s="422"/>
      <c r="C72" s="423"/>
      <c r="D72" s="423"/>
      <c r="E72" s="423"/>
      <c r="F72" s="423"/>
      <c r="G72" s="423"/>
      <c r="H72" s="423"/>
      <c r="I72" s="423"/>
      <c r="J72" s="423"/>
      <c r="K72" s="423"/>
      <c r="L72" s="423"/>
      <c r="M72" s="423"/>
      <c r="N72" s="423"/>
      <c r="O72" s="424"/>
      <c r="P72"/>
    </row>
    <row r="73" spans="2:15" ht="15" hidden="1">
      <c r="B73" s="422"/>
      <c r="C73" s="423"/>
      <c r="D73" s="423"/>
      <c r="E73" s="423"/>
      <c r="F73" s="423"/>
      <c r="G73" s="423"/>
      <c r="H73" s="423"/>
      <c r="I73" s="423"/>
      <c r="J73" s="423"/>
      <c r="K73" s="423"/>
      <c r="L73" s="423"/>
      <c r="M73" s="423"/>
      <c r="N73" s="423"/>
      <c r="O73" s="424"/>
    </row>
    <row r="74" spans="2:15" ht="15" hidden="1">
      <c r="B74" s="422"/>
      <c r="C74" s="423"/>
      <c r="D74" s="423"/>
      <c r="E74" s="423"/>
      <c r="F74" s="423"/>
      <c r="G74" s="423"/>
      <c r="H74" s="423"/>
      <c r="I74" s="423"/>
      <c r="J74" s="423"/>
      <c r="K74" s="423"/>
      <c r="L74" s="423"/>
      <c r="M74" s="423"/>
      <c r="N74" s="423"/>
      <c r="O74" s="424"/>
    </row>
    <row r="75" spans="2:15" ht="15" hidden="1">
      <c r="B75" s="425"/>
      <c r="C75" s="426"/>
      <c r="D75" s="426"/>
      <c r="E75" s="426"/>
      <c r="F75" s="426"/>
      <c r="G75" s="426"/>
      <c r="H75" s="426"/>
      <c r="I75" s="426"/>
      <c r="J75" s="426"/>
      <c r="K75" s="426"/>
      <c r="L75" s="426"/>
      <c r="M75" s="426"/>
      <c r="N75" s="426"/>
      <c r="O75" s="427"/>
    </row>
  </sheetData>
  <sheetProtection/>
  <mergeCells count="10">
    <mergeCell ref="B3:J3"/>
    <mergeCell ref="B4:J4"/>
    <mergeCell ref="B5:J5"/>
    <mergeCell ref="B6:J6"/>
    <mergeCell ref="B71:O75"/>
    <mergeCell ref="K67:O67"/>
    <mergeCell ref="B10:O10"/>
    <mergeCell ref="B8:O8"/>
    <mergeCell ref="B9:O9"/>
    <mergeCell ref="B40:O44"/>
  </mergeCells>
  <printOptions horizontalCentered="1"/>
  <pageMargins left="0.2" right="0.45" top="1" bottom="0.25" header="0.3" footer="0.3"/>
  <pageSetup fitToHeight="2" fitToWidth="1" horizontalDpi="600" verticalDpi="600" orientation="portrait" r:id="rId1"/>
  <headerFooter>
    <oddHeader>&amp;RSchedule LKM - 2</oddHeader>
  </headerFooter>
  <ignoredErrors>
    <ignoredError sqref="H12:J12" numberStoredAsText="1"/>
  </ignoredErrors>
</worksheet>
</file>

<file path=xl/worksheets/sheet4.xml><?xml version="1.0" encoding="utf-8"?>
<worksheet xmlns="http://schemas.openxmlformats.org/spreadsheetml/2006/main" xmlns:r="http://schemas.openxmlformats.org/officeDocument/2006/relationships">
  <sheetPr>
    <tabColor indexed="11"/>
    <pageSetUpPr fitToPage="1"/>
  </sheetPr>
  <dimension ref="A2:Q68"/>
  <sheetViews>
    <sheetView zoomScale="120" zoomScaleNormal="120" zoomScaleSheetLayoutView="120" zoomScalePageLayoutView="0" workbookViewId="0" topLeftCell="A15">
      <selection activeCell="D192" sqref="D192"/>
    </sheetView>
  </sheetViews>
  <sheetFormatPr defaultColWidth="9.00390625" defaultRowHeight="15.75"/>
  <cols>
    <col min="1" max="1" width="2.125" style="3" customWidth="1"/>
    <col min="2" max="2" width="8.125" style="3" customWidth="1"/>
    <col min="3" max="3" width="12.125" style="3" customWidth="1"/>
    <col min="4" max="4" width="8.75390625" style="3" customWidth="1"/>
    <col min="5" max="5" width="3.125" style="3" customWidth="1"/>
    <col min="6" max="6" width="2.125" style="3" customWidth="1"/>
    <col min="7" max="9" width="10.75390625" style="3" customWidth="1"/>
    <col min="10" max="12" width="9.125" style="3" hidden="1" customWidth="1"/>
    <col min="13" max="13" width="2.125" style="3" hidden="1" customWidth="1"/>
    <col min="14" max="14" width="29.75390625" style="3" hidden="1" customWidth="1"/>
    <col min="15" max="16384" width="9.00390625" style="3" customWidth="1"/>
  </cols>
  <sheetData>
    <row r="2" spans="2:10" ht="15">
      <c r="B2" s="416" t="s">
        <v>422</v>
      </c>
      <c r="C2" s="416"/>
      <c r="D2" s="416"/>
      <c r="E2" s="416"/>
      <c r="F2" s="416"/>
      <c r="G2" s="416"/>
      <c r="H2" s="416"/>
      <c r="I2" s="416"/>
      <c r="J2" s="416"/>
    </row>
    <row r="3" spans="2:10" ht="15">
      <c r="B3" s="417" t="s">
        <v>434</v>
      </c>
      <c r="C3" s="417"/>
      <c r="D3" s="417"/>
      <c r="E3" s="417"/>
      <c r="F3" s="417"/>
      <c r="G3" s="417"/>
      <c r="H3" s="417"/>
      <c r="I3" s="417"/>
      <c r="J3" s="417"/>
    </row>
    <row r="4" spans="2:10" ht="15">
      <c r="B4" s="418" t="s">
        <v>424</v>
      </c>
      <c r="C4" s="418"/>
      <c r="D4" s="418"/>
      <c r="E4" s="418"/>
      <c r="F4" s="418"/>
      <c r="G4" s="418"/>
      <c r="H4" s="418"/>
      <c r="I4" s="418"/>
      <c r="J4" s="418"/>
    </row>
    <row r="5" spans="2:10" ht="15">
      <c r="B5" s="417" t="s">
        <v>433</v>
      </c>
      <c r="C5" s="417"/>
      <c r="D5" s="417"/>
      <c r="E5" s="417"/>
      <c r="F5" s="417"/>
      <c r="G5" s="417"/>
      <c r="H5" s="417"/>
      <c r="I5" s="417"/>
      <c r="J5" s="417"/>
    </row>
    <row r="7" spans="2:14" ht="17.25" hidden="1">
      <c r="B7" s="397" t="s">
        <v>357</v>
      </c>
      <c r="C7" s="432"/>
      <c r="D7" s="432"/>
      <c r="E7" s="432"/>
      <c r="F7" s="432"/>
      <c r="G7" s="432"/>
      <c r="H7" s="432"/>
      <c r="I7" s="432"/>
      <c r="J7" s="432"/>
      <c r="K7" s="432"/>
      <c r="L7" s="432"/>
      <c r="M7" s="432"/>
      <c r="N7" s="432"/>
    </row>
    <row r="8" spans="2:17" ht="17.25" hidden="1">
      <c r="B8" s="399" t="s">
        <v>5</v>
      </c>
      <c r="C8" s="400"/>
      <c r="D8" s="400"/>
      <c r="E8" s="400"/>
      <c r="F8" s="400"/>
      <c r="G8" s="400"/>
      <c r="H8" s="400"/>
      <c r="I8" s="400"/>
      <c r="J8" s="400"/>
      <c r="K8" s="400"/>
      <c r="L8" s="400"/>
      <c r="M8" s="400"/>
      <c r="N8" s="400"/>
      <c r="O8" s="26"/>
      <c r="P8" s="237"/>
      <c r="Q8" s="237"/>
    </row>
    <row r="9" spans="2:17" s="118" customFormat="1" ht="18.75" customHeight="1" hidden="1">
      <c r="B9" s="434" t="s">
        <v>405</v>
      </c>
      <c r="C9" s="435"/>
      <c r="D9" s="435"/>
      <c r="E9" s="435"/>
      <c r="F9" s="435"/>
      <c r="G9" s="435"/>
      <c r="H9" s="435"/>
      <c r="I9" s="435"/>
      <c r="J9" s="435"/>
      <c r="K9" s="435"/>
      <c r="L9" s="435"/>
      <c r="M9" s="435"/>
      <c r="N9" s="435"/>
      <c r="O9" s="119"/>
      <c r="P9" s="268"/>
      <c r="Q9" s="268"/>
    </row>
    <row r="10" spans="2:17" ht="17.25" hidden="1">
      <c r="B10" s="18" t="s">
        <v>6</v>
      </c>
      <c r="C10" s="19"/>
      <c r="D10" s="19"/>
      <c r="E10" s="19"/>
      <c r="F10" s="21"/>
      <c r="G10" s="21"/>
      <c r="H10" s="22"/>
      <c r="I10" s="22"/>
      <c r="J10" s="22"/>
      <c r="K10" s="22"/>
      <c r="L10" s="22"/>
      <c r="M10" s="46"/>
      <c r="N10" s="46"/>
      <c r="O10" s="26"/>
      <c r="P10" s="237"/>
      <c r="Q10" s="237"/>
    </row>
    <row r="11" spans="2:17" ht="17.25">
      <c r="B11" s="234" t="s">
        <v>244</v>
      </c>
      <c r="C11" s="235" t="s">
        <v>0</v>
      </c>
      <c r="D11" s="235"/>
      <c r="E11" s="235"/>
      <c r="F11" s="235"/>
      <c r="G11" s="235" t="s">
        <v>427</v>
      </c>
      <c r="H11" s="235" t="s">
        <v>426</v>
      </c>
      <c r="I11" s="235" t="s">
        <v>425</v>
      </c>
      <c r="J11" s="235" t="s">
        <v>425</v>
      </c>
      <c r="K11" s="24">
        <v>2025</v>
      </c>
      <c r="L11" s="24">
        <v>2026</v>
      </c>
      <c r="M11" s="69"/>
      <c r="N11" s="69"/>
      <c r="P11" s="237"/>
      <c r="Q11" s="237"/>
    </row>
    <row r="12" spans="2:17" ht="7.5" customHeight="1" hidden="1">
      <c r="B12" s="70"/>
      <c r="C12" s="25"/>
      <c r="D12" s="25"/>
      <c r="E12" s="25"/>
      <c r="F12" s="25"/>
      <c r="G12" s="25"/>
      <c r="H12" s="25"/>
      <c r="I12" s="25"/>
      <c r="J12" s="25"/>
      <c r="K12" s="25"/>
      <c r="L12" s="25"/>
      <c r="M12" s="26"/>
      <c r="N12" s="26"/>
      <c r="P12" s="237"/>
      <c r="Q12" s="237"/>
    </row>
    <row r="13" spans="2:17" ht="15">
      <c r="B13" s="200"/>
      <c r="C13" s="7" t="s">
        <v>81</v>
      </c>
      <c r="D13" s="7"/>
      <c r="E13" s="7"/>
      <c r="F13" s="7"/>
      <c r="G13" s="7"/>
      <c r="H13" s="14"/>
      <c r="I13" s="14"/>
      <c r="J13" s="14"/>
      <c r="K13" s="14"/>
      <c r="L13" s="14"/>
      <c r="M13" s="139"/>
      <c r="N13" s="47" t="s">
        <v>208</v>
      </c>
      <c r="P13" s="237"/>
      <c r="Q13" s="237"/>
    </row>
    <row r="14" spans="2:17" ht="15" hidden="1">
      <c r="B14" s="137">
        <v>1</v>
      </c>
      <c r="C14" s="125" t="s">
        <v>82</v>
      </c>
      <c r="D14" s="125"/>
      <c r="E14" s="125"/>
      <c r="F14" s="125"/>
      <c r="G14" s="48">
        <v>157512.51870469982</v>
      </c>
      <c r="H14" s="48">
        <v>163063.91537557676</v>
      </c>
      <c r="I14" s="48">
        <v>168410.80039698363</v>
      </c>
      <c r="J14" s="48">
        <v>173986.8213920639</v>
      </c>
      <c r="K14" s="48">
        <v>179718.51970716217</v>
      </c>
      <c r="L14" s="48">
        <v>185609.8904240739</v>
      </c>
      <c r="M14" s="139"/>
      <c r="N14" s="112" t="s">
        <v>209</v>
      </c>
      <c r="P14" s="237"/>
      <c r="Q14" s="237"/>
    </row>
    <row r="15" spans="2:17" ht="15">
      <c r="B15" s="143" t="s">
        <v>135</v>
      </c>
      <c r="C15" s="198" t="s">
        <v>82</v>
      </c>
      <c r="D15" s="198"/>
      <c r="E15" s="198"/>
      <c r="F15" s="198"/>
      <c r="G15" s="266">
        <f>'[3]Sheet3'!G89</f>
        <v>156614.87246665955</v>
      </c>
      <c r="H15" s="266">
        <f>'[3]Sheet3'!H89</f>
        <v>162094.80091048154</v>
      </c>
      <c r="I15" s="266">
        <f>'[3]Sheet3'!I89</f>
        <v>167368.37481315955</v>
      </c>
      <c r="J15" s="273">
        <f>J14</f>
        <v>173986.8213920639</v>
      </c>
      <c r="K15" s="273">
        <f>K14</f>
        <v>179718.51970716217</v>
      </c>
      <c r="L15" s="273">
        <f>L14</f>
        <v>185609.8904240739</v>
      </c>
      <c r="M15" s="274"/>
      <c r="N15" s="275" t="s">
        <v>153</v>
      </c>
      <c r="P15" s="237"/>
      <c r="Q15" s="237"/>
    </row>
    <row r="16" spans="2:17" ht="15" hidden="1">
      <c r="B16" s="137">
        <v>2</v>
      </c>
      <c r="C16" s="125" t="s">
        <v>83</v>
      </c>
      <c r="D16" s="125"/>
      <c r="E16" s="125"/>
      <c r="F16" s="125"/>
      <c r="G16" s="240">
        <v>148940.18561438515</v>
      </c>
      <c r="H16" s="240">
        <v>153915.0427517776</v>
      </c>
      <c r="I16" s="240">
        <v>159304.60517385905</v>
      </c>
      <c r="J16" s="48">
        <v>164544.1259736697</v>
      </c>
      <c r="K16" s="48">
        <v>169870.90330202796</v>
      </c>
      <c r="L16" s="48">
        <v>175551.96519091816</v>
      </c>
      <c r="M16" s="276"/>
      <c r="N16" s="277" t="s">
        <v>209</v>
      </c>
      <c r="P16" s="237"/>
      <c r="Q16" s="237"/>
    </row>
    <row r="17" spans="2:17" ht="15">
      <c r="B17" s="143" t="s">
        <v>136</v>
      </c>
      <c r="C17" s="198" t="s">
        <v>83</v>
      </c>
      <c r="D17" s="198"/>
      <c r="E17" s="198"/>
      <c r="F17" s="198"/>
      <c r="G17" s="258">
        <f>'[3]Sheet3'!G90+'[3]Sheet3'!G91+'[3]Sheet3'!G92+'[3]Sheet3'!G93+'[3]Sheet3'!G94+'[3]Sheet3'!G95</f>
        <v>148940.18561438515</v>
      </c>
      <c r="H17" s="258">
        <f>'[3]Sheet3'!H90+'[3]Sheet3'!H91+'[3]Sheet3'!H92+'[3]Sheet3'!H93+'[3]Sheet3'!H94+'[3]Sheet3'!H95</f>
        <v>153915.04275177757</v>
      </c>
      <c r="I17" s="258">
        <f>'[3]Sheet3'!I90+'[3]Sheet3'!I91+'[3]Sheet3'!I92+'[3]Sheet3'!I93+'[3]Sheet3'!I94+'[3]Sheet3'!I95</f>
        <v>159304.60517385905</v>
      </c>
      <c r="J17" s="273">
        <f>J16</f>
        <v>164544.1259736697</v>
      </c>
      <c r="K17" s="273">
        <f>K16</f>
        <v>169870.90330202796</v>
      </c>
      <c r="L17" s="273">
        <f>L16</f>
        <v>175551.96519091816</v>
      </c>
      <c r="M17" s="274"/>
      <c r="N17" s="275" t="s">
        <v>153</v>
      </c>
      <c r="P17" s="237"/>
      <c r="Q17" s="237"/>
    </row>
    <row r="18" spans="2:17" ht="2.25" customHeight="1">
      <c r="B18" s="241"/>
      <c r="C18" s="241"/>
      <c r="D18" s="241"/>
      <c r="E18" s="241"/>
      <c r="F18" s="241"/>
      <c r="G18" s="242"/>
      <c r="H18" s="242"/>
      <c r="I18" s="242"/>
      <c r="J18" s="9"/>
      <c r="K18" s="9"/>
      <c r="L18" s="9"/>
      <c r="M18" s="180"/>
      <c r="N18" s="180"/>
      <c r="P18" s="237"/>
      <c r="Q18" s="237"/>
    </row>
    <row r="19" spans="2:17" ht="15" hidden="1">
      <c r="B19" s="137">
        <v>3</v>
      </c>
      <c r="C19" s="125" t="s">
        <v>84</v>
      </c>
      <c r="D19" s="125"/>
      <c r="E19" s="125"/>
      <c r="F19" s="125"/>
      <c r="G19" s="240">
        <f>ROUND(G14,2)+ROUND(G16,2)</f>
        <v>306452.70999999996</v>
      </c>
      <c r="H19" s="240">
        <f aca="true" t="shared" si="0" ref="H19:L20">ROUND(H14,2)+ROUND(H16,2)</f>
        <v>316978.96</v>
      </c>
      <c r="I19" s="240">
        <f t="shared" si="0"/>
        <v>327715.41</v>
      </c>
      <c r="J19" s="48">
        <f t="shared" si="0"/>
        <v>338530.95</v>
      </c>
      <c r="K19" s="48">
        <f t="shared" si="0"/>
        <v>349589.42</v>
      </c>
      <c r="L19" s="48">
        <f t="shared" si="0"/>
        <v>361161.86</v>
      </c>
      <c r="M19" s="276"/>
      <c r="N19" s="277" t="s">
        <v>188</v>
      </c>
      <c r="P19" s="237"/>
      <c r="Q19" s="237"/>
    </row>
    <row r="20" spans="2:17" ht="15">
      <c r="B20" s="143" t="s">
        <v>137</v>
      </c>
      <c r="C20" s="198" t="s">
        <v>84</v>
      </c>
      <c r="D20" s="198"/>
      <c r="E20" s="198"/>
      <c r="F20" s="198"/>
      <c r="G20" s="266">
        <f>ROUND(G15,2)+ROUND(G17,2)</f>
        <v>305555.06</v>
      </c>
      <c r="H20" s="266">
        <f t="shared" si="0"/>
        <v>316009.83999999997</v>
      </c>
      <c r="I20" s="266">
        <f t="shared" si="0"/>
        <v>326672.98</v>
      </c>
      <c r="J20" s="193">
        <f t="shared" si="0"/>
        <v>338530.95</v>
      </c>
      <c r="K20" s="193">
        <f t="shared" si="0"/>
        <v>349589.42</v>
      </c>
      <c r="L20" s="193">
        <f t="shared" si="0"/>
        <v>361161.86</v>
      </c>
      <c r="M20" s="278"/>
      <c r="N20" s="279" t="s">
        <v>189</v>
      </c>
      <c r="P20" s="237"/>
      <c r="Q20" s="237"/>
    </row>
    <row r="21" spans="2:17" ht="15">
      <c r="B21" s="137"/>
      <c r="C21" s="125" t="s">
        <v>85</v>
      </c>
      <c r="D21" s="125"/>
      <c r="E21" s="125"/>
      <c r="F21" s="125"/>
      <c r="G21" s="48"/>
      <c r="H21" s="48"/>
      <c r="I21" s="48"/>
      <c r="J21" s="48"/>
      <c r="K21" s="48"/>
      <c r="L21" s="48"/>
      <c r="M21" s="276"/>
      <c r="N21" s="277"/>
      <c r="P21" s="237"/>
      <c r="Q21" s="237"/>
    </row>
    <row r="22" spans="2:17" ht="15" hidden="1">
      <c r="B22" s="137">
        <v>4</v>
      </c>
      <c r="C22" s="125" t="s">
        <v>86</v>
      </c>
      <c r="D22" s="125"/>
      <c r="E22" s="125"/>
      <c r="F22" s="125"/>
      <c r="G22" s="48">
        <v>14799.966882309696</v>
      </c>
      <c r="H22" s="48">
        <v>14799.966882309696</v>
      </c>
      <c r="I22" s="48">
        <v>14873.966716721243</v>
      </c>
      <c r="J22" s="48">
        <v>15022.706383888455</v>
      </c>
      <c r="K22" s="48">
        <v>15172.93344772734</v>
      </c>
      <c r="L22" s="48">
        <v>15324.662782204614</v>
      </c>
      <c r="M22" s="276"/>
      <c r="N22" s="277" t="s">
        <v>209</v>
      </c>
      <c r="P22" s="237"/>
      <c r="Q22" s="237"/>
    </row>
    <row r="23" spans="2:17" ht="15">
      <c r="B23" s="143" t="s">
        <v>138</v>
      </c>
      <c r="C23" s="198" t="s">
        <v>86</v>
      </c>
      <c r="D23" s="198"/>
      <c r="E23" s="198"/>
      <c r="F23" s="198"/>
      <c r="G23" s="266">
        <f>'[3]Sheet3'!G97</f>
        <v>15509.296790206341</v>
      </c>
      <c r="H23" s="266">
        <f>'[3]Sheet3'!H97</f>
        <v>15509.296790206341</v>
      </c>
      <c r="I23" s="266">
        <f>'[3]Sheet3'!I97</f>
        <v>15586.84327415737</v>
      </c>
      <c r="J23" s="273">
        <f>J22</f>
        <v>15022.706383888455</v>
      </c>
      <c r="K23" s="273">
        <f>K22</f>
        <v>15172.93344772734</v>
      </c>
      <c r="L23" s="273">
        <f>L22</f>
        <v>15324.662782204614</v>
      </c>
      <c r="M23" s="274"/>
      <c r="N23" s="275" t="s">
        <v>153</v>
      </c>
      <c r="P23" s="237"/>
      <c r="Q23" s="237"/>
    </row>
    <row r="24" spans="2:17" ht="15" hidden="1">
      <c r="B24" s="137">
        <v>5</v>
      </c>
      <c r="C24" s="125" t="s">
        <v>87</v>
      </c>
      <c r="D24" s="125"/>
      <c r="E24" s="125"/>
      <c r="F24" s="125"/>
      <c r="G24" s="240">
        <v>4361.909710458933</v>
      </c>
      <c r="H24" s="240">
        <v>4601.814744534173</v>
      </c>
      <c r="I24" s="240">
        <v>4670.841965702186</v>
      </c>
      <c r="J24" s="48">
        <v>4740.904595187718</v>
      </c>
      <c r="K24" s="48">
        <v>4788.313641139594</v>
      </c>
      <c r="L24" s="48">
        <v>4836.196777550991</v>
      </c>
      <c r="M24" s="276"/>
      <c r="N24" s="277" t="s">
        <v>209</v>
      </c>
      <c r="P24" s="237"/>
      <c r="Q24" s="237"/>
    </row>
    <row r="25" spans="2:17" ht="15">
      <c r="B25" s="143" t="s">
        <v>139</v>
      </c>
      <c r="C25" s="198" t="s">
        <v>87</v>
      </c>
      <c r="D25" s="198"/>
      <c r="E25" s="198"/>
      <c r="F25" s="198"/>
      <c r="G25" s="240">
        <f>'[3]Sheet3'!G98</f>
        <v>4362.576693001988</v>
      </c>
      <c r="H25" s="240">
        <f>'[3]Sheet3'!H98</f>
        <v>4428.015343397017</v>
      </c>
      <c r="I25" s="240">
        <f>'[3]Sheet3'!I98</f>
        <v>4494.435573547972</v>
      </c>
      <c r="J25" s="273">
        <f>J24</f>
        <v>4740.904595187718</v>
      </c>
      <c r="K25" s="273">
        <f>K24</f>
        <v>4788.313641139594</v>
      </c>
      <c r="L25" s="273">
        <f>L24</f>
        <v>4836.196777550991</v>
      </c>
      <c r="M25" s="274"/>
      <c r="N25" s="275" t="s">
        <v>153</v>
      </c>
      <c r="P25" s="237"/>
      <c r="Q25" s="237"/>
    </row>
    <row r="26" spans="2:17" ht="15" hidden="1">
      <c r="B26" s="137">
        <v>6</v>
      </c>
      <c r="C26" s="125" t="s">
        <v>88</v>
      </c>
      <c r="D26" s="125"/>
      <c r="E26" s="125"/>
      <c r="F26" s="125"/>
      <c r="G26" s="240">
        <v>15000</v>
      </c>
      <c r="H26" s="240">
        <v>25000</v>
      </c>
      <c r="I26" s="240">
        <v>25000</v>
      </c>
      <c r="J26" s="48">
        <v>25000</v>
      </c>
      <c r="K26" s="48">
        <v>25000</v>
      </c>
      <c r="L26" s="48">
        <v>25000</v>
      </c>
      <c r="M26" s="276"/>
      <c r="N26" s="277" t="s">
        <v>209</v>
      </c>
      <c r="P26" s="237"/>
      <c r="Q26" s="237"/>
    </row>
    <row r="27" spans="2:17" ht="15">
      <c r="B27" s="143" t="s">
        <v>154</v>
      </c>
      <c r="C27" s="198" t="s">
        <v>88</v>
      </c>
      <c r="D27" s="198"/>
      <c r="E27" s="198"/>
      <c r="F27" s="198"/>
      <c r="G27" s="240">
        <f>'[3]Sheet3'!$G$99</f>
        <v>15000</v>
      </c>
      <c r="H27" s="240">
        <f>'[3]Sheet3'!$G$99</f>
        <v>15000</v>
      </c>
      <c r="I27" s="240">
        <f>'[3]Sheet3'!$G$99</f>
        <v>15000</v>
      </c>
      <c r="J27" s="273">
        <f>J26</f>
        <v>25000</v>
      </c>
      <c r="K27" s="273">
        <f>K26</f>
        <v>25000</v>
      </c>
      <c r="L27" s="273">
        <f>L26</f>
        <v>25000</v>
      </c>
      <c r="M27" s="274"/>
      <c r="N27" s="275" t="s">
        <v>153</v>
      </c>
      <c r="P27" s="237"/>
      <c r="Q27" s="237"/>
    </row>
    <row r="28" spans="2:17" ht="15" hidden="1">
      <c r="B28" s="137">
        <v>7</v>
      </c>
      <c r="C28" s="125" t="s">
        <v>66</v>
      </c>
      <c r="D28" s="125"/>
      <c r="E28" s="125"/>
      <c r="F28" s="125"/>
      <c r="G28" s="240">
        <v>151470.53854807818</v>
      </c>
      <c r="H28" s="240">
        <v>144781.07796864497</v>
      </c>
      <c r="I28" s="240">
        <v>147147.0781829799</v>
      </c>
      <c r="J28" s="48">
        <v>149551.50013944932</v>
      </c>
      <c r="K28" s="48">
        <v>151994.966950003</v>
      </c>
      <c r="L28" s="48">
        <v>154478.10915701525</v>
      </c>
      <c r="M28" s="276"/>
      <c r="N28" s="277" t="s">
        <v>209</v>
      </c>
      <c r="P28" s="237"/>
      <c r="Q28" s="237"/>
    </row>
    <row r="29" spans="2:17" ht="15">
      <c r="B29" s="143" t="s">
        <v>155</v>
      </c>
      <c r="C29" s="198" t="s">
        <v>91</v>
      </c>
      <c r="D29" s="198"/>
      <c r="E29" s="198"/>
      <c r="F29" s="198"/>
      <c r="G29" s="258">
        <f>'[3]Sheet3'!G96+'[3]Sheet3'!G100</f>
        <v>152312.72100254966</v>
      </c>
      <c r="H29" s="258">
        <f>'[3]Sheet3'!H96+'[3]Sheet3'!H100</f>
        <v>145444.69787271373</v>
      </c>
      <c r="I29" s="258">
        <f>'[3]Sheet3'!I96+'[3]Sheet3'!I100</f>
        <v>146934.72244480083</v>
      </c>
      <c r="J29" s="273">
        <f>J28</f>
        <v>149551.50013944932</v>
      </c>
      <c r="K29" s="273">
        <f>K28</f>
        <v>151994.966950003</v>
      </c>
      <c r="L29" s="273">
        <f>L28</f>
        <v>154478.10915701525</v>
      </c>
      <c r="M29" s="274"/>
      <c r="N29" s="275" t="s">
        <v>153</v>
      </c>
      <c r="P29" s="237"/>
      <c r="Q29" s="237"/>
    </row>
    <row r="30" spans="2:17" ht="2.25" customHeight="1">
      <c r="B30" s="241"/>
      <c r="C30" s="241"/>
      <c r="D30" s="241"/>
      <c r="E30" s="241"/>
      <c r="F30" s="241"/>
      <c r="G30" s="242"/>
      <c r="H30" s="242"/>
      <c r="I30" s="242"/>
      <c r="J30" s="9"/>
      <c r="K30" s="9"/>
      <c r="L30" s="9"/>
      <c r="M30" s="180"/>
      <c r="N30" s="180"/>
      <c r="P30" s="237"/>
      <c r="Q30" s="237"/>
    </row>
    <row r="31" spans="2:17" ht="15" hidden="1">
      <c r="B31" s="137">
        <v>8</v>
      </c>
      <c r="C31" s="125" t="s">
        <v>84</v>
      </c>
      <c r="D31" s="125"/>
      <c r="E31" s="125"/>
      <c r="F31" s="125"/>
      <c r="G31" s="48">
        <f aca="true" t="shared" si="1" ref="G31:L32">ROUND(G22,2)+ROUND(G24,2)+ROUND(G26,2)+ROUND(G28,2)</f>
        <v>185632.42</v>
      </c>
      <c r="H31" s="48">
        <f t="shared" si="1"/>
        <v>189182.86</v>
      </c>
      <c r="I31" s="48">
        <f t="shared" si="1"/>
        <v>191691.88999999998</v>
      </c>
      <c r="J31" s="48">
        <f t="shared" si="1"/>
        <v>194315.11</v>
      </c>
      <c r="K31" s="48">
        <f t="shared" si="1"/>
        <v>196956.21000000002</v>
      </c>
      <c r="L31" s="48">
        <f t="shared" si="1"/>
        <v>199638.96999999997</v>
      </c>
      <c r="M31" s="276"/>
      <c r="N31" s="277" t="s">
        <v>187</v>
      </c>
      <c r="P31" s="237"/>
      <c r="Q31" s="237"/>
    </row>
    <row r="32" spans="2:17" ht="15">
      <c r="B32" s="143" t="s">
        <v>156</v>
      </c>
      <c r="C32" s="198" t="s">
        <v>84</v>
      </c>
      <c r="D32" s="198"/>
      <c r="E32" s="198"/>
      <c r="F32" s="198"/>
      <c r="G32" s="266">
        <f t="shared" si="1"/>
        <v>187184.6</v>
      </c>
      <c r="H32" s="266">
        <f t="shared" si="1"/>
        <v>180382.02000000002</v>
      </c>
      <c r="I32" s="266">
        <f t="shared" si="1"/>
        <v>182016</v>
      </c>
      <c r="J32" s="272">
        <f t="shared" si="1"/>
        <v>194315.11</v>
      </c>
      <c r="K32" s="272">
        <f t="shared" si="1"/>
        <v>196956.21000000002</v>
      </c>
      <c r="L32" s="272">
        <f t="shared" si="1"/>
        <v>199638.96999999997</v>
      </c>
      <c r="M32" s="278"/>
      <c r="N32" s="279" t="s">
        <v>210</v>
      </c>
      <c r="P32" s="237"/>
      <c r="Q32" s="237"/>
    </row>
    <row r="33" spans="2:17" ht="15">
      <c r="B33" s="137"/>
      <c r="C33" s="125" t="s">
        <v>89</v>
      </c>
      <c r="D33" s="125"/>
      <c r="E33" s="125"/>
      <c r="F33" s="125"/>
      <c r="G33" s="48"/>
      <c r="H33" s="48"/>
      <c r="I33" s="48"/>
      <c r="J33" s="48"/>
      <c r="K33" s="48"/>
      <c r="L33" s="48"/>
      <c r="M33" s="276"/>
      <c r="N33" s="277"/>
      <c r="P33" s="237"/>
      <c r="Q33" s="237"/>
    </row>
    <row r="34" spans="2:17" ht="15" hidden="1">
      <c r="B34" s="137">
        <v>9</v>
      </c>
      <c r="C34" s="125" t="s">
        <v>90</v>
      </c>
      <c r="D34" s="125"/>
      <c r="E34" s="125"/>
      <c r="F34" s="125"/>
      <c r="G34" s="48">
        <v>25317.28104049958</v>
      </c>
      <c r="H34" s="48">
        <v>25950.213066512068</v>
      </c>
      <c r="I34" s="48">
        <v>26598.968393174866</v>
      </c>
      <c r="J34" s="48">
        <v>27263.942603004234</v>
      </c>
      <c r="K34" s="48">
        <v>27945.54116807934</v>
      </c>
      <c r="L34" s="48">
        <v>28644.17969728132</v>
      </c>
      <c r="M34" s="276"/>
      <c r="N34" s="277" t="s">
        <v>209</v>
      </c>
      <c r="P34" s="237"/>
      <c r="Q34" s="237"/>
    </row>
    <row r="35" spans="2:17" ht="15">
      <c r="B35" s="253" t="s">
        <v>157</v>
      </c>
      <c r="C35" s="246" t="s">
        <v>90</v>
      </c>
      <c r="D35" s="246"/>
      <c r="E35" s="246"/>
      <c r="F35" s="246"/>
      <c r="G35" s="266">
        <f>'[3]Sheet3'!G102</f>
        <v>25551.387168101253</v>
      </c>
      <c r="H35" s="266">
        <f>'[3]Sheet3'!H102</f>
        <v>26190.171847303784</v>
      </c>
      <c r="I35" s="266">
        <f>'[3]Sheet3'!I102</f>
        <v>26844.926143486377</v>
      </c>
      <c r="J35" s="273">
        <f>J34</f>
        <v>27263.942603004234</v>
      </c>
      <c r="K35" s="273">
        <f>K34</f>
        <v>27945.54116807934</v>
      </c>
      <c r="L35" s="273">
        <f>L34</f>
        <v>28644.17969728132</v>
      </c>
      <c r="M35" s="274"/>
      <c r="N35" s="275" t="s">
        <v>153</v>
      </c>
      <c r="P35" s="237"/>
      <c r="Q35" s="237"/>
    </row>
    <row r="36" spans="2:17" ht="15" hidden="1">
      <c r="B36" s="253">
        <v>10</v>
      </c>
      <c r="C36" s="246" t="s">
        <v>91</v>
      </c>
      <c r="D36" s="246"/>
      <c r="E36" s="246"/>
      <c r="F36" s="246"/>
      <c r="G36" s="240">
        <v>25174.603564947905</v>
      </c>
      <c r="H36" s="240">
        <v>25836.695638706035</v>
      </c>
      <c r="I36" s="240">
        <v>26516.200734004007</v>
      </c>
      <c r="J36" s="48">
        <v>27213.57681330831</v>
      </c>
      <c r="K36" s="48">
        <v>27929.293883498314</v>
      </c>
      <c r="L36" s="48">
        <v>28663.834312634324</v>
      </c>
      <c r="M36" s="276"/>
      <c r="N36" s="277" t="s">
        <v>209</v>
      </c>
      <c r="P36" s="237"/>
      <c r="Q36" s="237"/>
    </row>
    <row r="37" spans="2:17" ht="15">
      <c r="B37" s="253" t="s">
        <v>158</v>
      </c>
      <c r="C37" s="246" t="s">
        <v>91</v>
      </c>
      <c r="D37" s="246"/>
      <c r="E37" s="246"/>
      <c r="F37" s="246"/>
      <c r="G37" s="258">
        <f>'[3]Sheet3'!G101</f>
        <v>25217.863657256166</v>
      </c>
      <c r="H37" s="258">
        <f>'[3]Sheet3'!H101</f>
        <v>25545.69588480049</v>
      </c>
      <c r="I37" s="258">
        <f>'[3]Sheet3'!I101</f>
        <v>25877.789931302897</v>
      </c>
      <c r="J37" s="273">
        <f>J36</f>
        <v>27213.57681330831</v>
      </c>
      <c r="K37" s="273">
        <f>K36</f>
        <v>27929.293883498314</v>
      </c>
      <c r="L37" s="273">
        <f>L36</f>
        <v>28663.834312634324</v>
      </c>
      <c r="M37" s="274"/>
      <c r="N37" s="275" t="s">
        <v>153</v>
      </c>
      <c r="P37" s="237"/>
      <c r="Q37" s="237"/>
    </row>
    <row r="38" spans="2:17" ht="2.25" customHeight="1">
      <c r="B38" s="241"/>
      <c r="C38" s="241"/>
      <c r="D38" s="241"/>
      <c r="E38" s="241"/>
      <c r="F38" s="241"/>
      <c r="G38" s="242"/>
      <c r="H38" s="242"/>
      <c r="I38" s="242"/>
      <c r="J38" s="9"/>
      <c r="K38" s="9"/>
      <c r="L38" s="9"/>
      <c r="M38" s="180"/>
      <c r="N38" s="180"/>
      <c r="P38" s="237"/>
      <c r="Q38" s="237"/>
    </row>
    <row r="39" spans="2:17" ht="15" hidden="1">
      <c r="B39" s="137">
        <v>11</v>
      </c>
      <c r="C39" s="125" t="s">
        <v>84</v>
      </c>
      <c r="D39" s="125"/>
      <c r="E39" s="125"/>
      <c r="F39" s="125"/>
      <c r="G39" s="48">
        <f>ROUND(G34,2)+ROUND(G36,2)</f>
        <v>50491.88</v>
      </c>
      <c r="H39" s="48">
        <f aca="true" t="shared" si="2" ref="H39:L40">ROUND(H34,2)+ROUND(H36,2)</f>
        <v>51786.91</v>
      </c>
      <c r="I39" s="48">
        <f t="shared" si="2"/>
        <v>53115.17</v>
      </c>
      <c r="J39" s="48">
        <f t="shared" si="2"/>
        <v>54477.520000000004</v>
      </c>
      <c r="K39" s="48">
        <f t="shared" si="2"/>
        <v>55874.83</v>
      </c>
      <c r="L39" s="48">
        <f t="shared" si="2"/>
        <v>57308.01</v>
      </c>
      <c r="M39" s="276"/>
      <c r="N39" s="277" t="s">
        <v>185</v>
      </c>
      <c r="P39" s="237"/>
      <c r="Q39" s="237"/>
    </row>
    <row r="40" spans="2:17" ht="15">
      <c r="B40" s="143" t="s">
        <v>159</v>
      </c>
      <c r="C40" s="198" t="s">
        <v>84</v>
      </c>
      <c r="D40" s="198"/>
      <c r="E40" s="198"/>
      <c r="F40" s="198"/>
      <c r="G40" s="266">
        <f>ROUND(G35,2)+ROUND(G37,2)</f>
        <v>50769.25</v>
      </c>
      <c r="H40" s="266">
        <f t="shared" si="2"/>
        <v>51735.869999999995</v>
      </c>
      <c r="I40" s="266">
        <f t="shared" si="2"/>
        <v>52722.72</v>
      </c>
      <c r="J40" s="193">
        <f>ROUND(J35,2)+ROUND(J37,2)</f>
        <v>54477.520000000004</v>
      </c>
      <c r="K40" s="193">
        <f t="shared" si="2"/>
        <v>55874.83</v>
      </c>
      <c r="L40" s="193">
        <f t="shared" si="2"/>
        <v>57308.01</v>
      </c>
      <c r="M40" s="278"/>
      <c r="N40" s="279" t="s">
        <v>186</v>
      </c>
      <c r="P40" s="237"/>
      <c r="Q40" s="237"/>
    </row>
    <row r="41" spans="1:17" ht="15" hidden="1">
      <c r="A41" s="122"/>
      <c r="B41" s="433" t="s">
        <v>428</v>
      </c>
      <c r="C41" s="433"/>
      <c r="D41" s="433"/>
      <c r="E41" s="433"/>
      <c r="F41" s="433"/>
      <c r="G41" s="433"/>
      <c r="H41" s="433"/>
      <c r="I41" s="433"/>
      <c r="J41" s="433"/>
      <c r="K41" s="433"/>
      <c r="L41" s="433"/>
      <c r="M41" s="433"/>
      <c r="N41" s="433"/>
      <c r="P41" s="237"/>
      <c r="Q41" s="237"/>
    </row>
    <row r="42" spans="1:17" ht="15" hidden="1">
      <c r="A42" s="123"/>
      <c r="B42" s="433"/>
      <c r="C42" s="433"/>
      <c r="D42" s="433"/>
      <c r="E42" s="433"/>
      <c r="F42" s="433"/>
      <c r="G42" s="433"/>
      <c r="H42" s="433"/>
      <c r="I42" s="433"/>
      <c r="J42" s="433"/>
      <c r="K42" s="433"/>
      <c r="L42" s="433"/>
      <c r="M42" s="433"/>
      <c r="N42" s="433"/>
      <c r="P42" s="237"/>
      <c r="Q42" s="237"/>
    </row>
    <row r="43" spans="1:17" ht="15" hidden="1">
      <c r="A43" s="123"/>
      <c r="B43" s="433"/>
      <c r="C43" s="433"/>
      <c r="D43" s="433"/>
      <c r="E43" s="433"/>
      <c r="F43" s="433"/>
      <c r="G43" s="433"/>
      <c r="H43" s="433"/>
      <c r="I43" s="433"/>
      <c r="J43" s="433"/>
      <c r="K43" s="433"/>
      <c r="L43" s="433"/>
      <c r="M43" s="433"/>
      <c r="N43" s="433"/>
      <c r="P43" s="237"/>
      <c r="Q43" s="237"/>
    </row>
    <row r="44" spans="1:17" ht="33.75" customHeight="1" hidden="1">
      <c r="A44" s="123"/>
      <c r="B44" s="433"/>
      <c r="C44" s="433"/>
      <c r="D44" s="433"/>
      <c r="E44" s="433"/>
      <c r="F44" s="433"/>
      <c r="G44" s="433"/>
      <c r="H44" s="433"/>
      <c r="I44" s="433"/>
      <c r="J44" s="433"/>
      <c r="K44" s="433"/>
      <c r="L44" s="433"/>
      <c r="M44" s="433"/>
      <c r="N44" s="433"/>
      <c r="P44" s="237"/>
      <c r="Q44" s="237"/>
    </row>
    <row r="45" spans="1:17" ht="2.25" customHeight="1">
      <c r="A45" s="124"/>
      <c r="B45" s="280"/>
      <c r="C45" s="280"/>
      <c r="D45" s="280"/>
      <c r="E45" s="280"/>
      <c r="F45" s="280"/>
      <c r="G45" s="280"/>
      <c r="H45" s="280"/>
      <c r="I45" s="280"/>
      <c r="J45" s="280"/>
      <c r="K45" s="280"/>
      <c r="L45" s="280"/>
      <c r="M45" s="280"/>
      <c r="N45" s="280"/>
      <c r="P45" s="237"/>
      <c r="Q45" s="237"/>
    </row>
    <row r="46" spans="2:17" ht="15" hidden="1">
      <c r="B46" s="137">
        <v>12</v>
      </c>
      <c r="C46" s="125" t="s">
        <v>92</v>
      </c>
      <c r="D46" s="125"/>
      <c r="E46" s="125"/>
      <c r="F46" s="125"/>
      <c r="G46" s="48">
        <v>2969.2909808057557</v>
      </c>
      <c r="H46" s="48">
        <v>4685.831312416041</v>
      </c>
      <c r="I46" s="48">
        <v>4817.034589163692</v>
      </c>
      <c r="J46" s="48">
        <v>4951.911633927987</v>
      </c>
      <c r="K46" s="48">
        <v>5090.565204167471</v>
      </c>
      <c r="L46" s="48">
        <v>5233.100727991129</v>
      </c>
      <c r="M46" s="276"/>
      <c r="N46" s="277" t="s">
        <v>209</v>
      </c>
      <c r="P46" s="237"/>
      <c r="Q46" s="237"/>
    </row>
    <row r="47" spans="2:17" ht="15">
      <c r="B47" s="143" t="s">
        <v>160</v>
      </c>
      <c r="C47" s="198" t="s">
        <v>92</v>
      </c>
      <c r="D47" s="198"/>
      <c r="E47" s="198"/>
      <c r="F47" s="198"/>
      <c r="G47" s="193">
        <f>'[3]Sheet3'!G103</f>
        <v>2621.171696810969</v>
      </c>
      <c r="H47" s="193">
        <f>'[3]Sheet3'!H103</f>
        <v>4288.647113017237</v>
      </c>
      <c r="I47" s="193">
        <f>'[3]Sheet3'!I103</f>
        <v>4368.900528248675</v>
      </c>
      <c r="J47" s="273">
        <f>J46</f>
        <v>4951.911633927987</v>
      </c>
      <c r="K47" s="273">
        <f>K46</f>
        <v>5090.565204167471</v>
      </c>
      <c r="L47" s="273">
        <f>L46</f>
        <v>5233.100727991129</v>
      </c>
      <c r="M47" s="274"/>
      <c r="N47" s="275" t="s">
        <v>153</v>
      </c>
      <c r="P47" s="237"/>
      <c r="Q47" s="237"/>
    </row>
    <row r="48" spans="2:17" ht="15" hidden="1">
      <c r="B48" s="137">
        <v>13</v>
      </c>
      <c r="C48" s="125" t="s">
        <v>93</v>
      </c>
      <c r="D48" s="125"/>
      <c r="E48" s="125"/>
      <c r="F48" s="125"/>
      <c r="G48" s="48">
        <v>13043.69893993792</v>
      </c>
      <c r="H48" s="48">
        <v>13043.69893993792</v>
      </c>
      <c r="I48" s="48">
        <v>13043.69893993792</v>
      </c>
      <c r="J48" s="48">
        <v>13043.69893993792</v>
      </c>
      <c r="K48" s="48">
        <v>13043.69893993792</v>
      </c>
      <c r="L48" s="48">
        <v>13043.69893993792</v>
      </c>
      <c r="M48" s="276"/>
      <c r="N48" s="277" t="s">
        <v>209</v>
      </c>
      <c r="P48" s="237"/>
      <c r="Q48" s="237"/>
    </row>
    <row r="49" spans="2:17" ht="15">
      <c r="B49" s="143" t="s">
        <v>161</v>
      </c>
      <c r="C49" s="198" t="s">
        <v>93</v>
      </c>
      <c r="D49" s="198"/>
      <c r="E49" s="198"/>
      <c r="F49" s="198"/>
      <c r="G49" s="258">
        <f>'[3]Sheet3'!G104+'[3]Sheet3'!G105</f>
        <v>11587.10465761059</v>
      </c>
      <c r="H49" s="258">
        <f>'[3]Sheet3'!H104+'[3]Sheet3'!H105</f>
        <v>11587.10465761059</v>
      </c>
      <c r="I49" s="258">
        <f>'[3]Sheet3'!I104+'[3]Sheet3'!I105</f>
        <v>11587.10465761059</v>
      </c>
      <c r="J49" s="273">
        <f>J48</f>
        <v>13043.69893993792</v>
      </c>
      <c r="K49" s="273">
        <f>K48</f>
        <v>13043.69893993792</v>
      </c>
      <c r="L49" s="273">
        <f>L48</f>
        <v>13043.69893993792</v>
      </c>
      <c r="M49" s="274"/>
      <c r="N49" s="275" t="s">
        <v>153</v>
      </c>
      <c r="P49" s="237"/>
      <c r="Q49" s="237"/>
    </row>
    <row r="50" spans="2:17" ht="16.5" hidden="1">
      <c r="B50" s="8"/>
      <c r="C50" s="8"/>
      <c r="D50" s="8"/>
      <c r="E50" s="8"/>
      <c r="F50" s="8"/>
      <c r="G50" s="9"/>
      <c r="H50" s="9"/>
      <c r="I50" s="9"/>
      <c r="J50" s="9"/>
      <c r="K50" s="9"/>
      <c r="L50" s="9"/>
      <c r="M50" s="9"/>
      <c r="N50" s="9"/>
      <c r="P50" s="237"/>
      <c r="Q50" s="237"/>
    </row>
    <row r="51" spans="2:17" ht="15" hidden="1">
      <c r="B51" s="137">
        <v>14</v>
      </c>
      <c r="C51" s="271" t="s">
        <v>94</v>
      </c>
      <c r="D51" s="125"/>
      <c r="E51" s="125"/>
      <c r="F51" s="125"/>
      <c r="G51" s="48">
        <f aca="true" t="shared" si="3" ref="G51:L52">ROUND(G39,2)+ROUND(G31,2)+ROUND(G19,2)+ROUND(G46,2)+ROUND(G48,2)</f>
        <v>558590</v>
      </c>
      <c r="H51" s="48">
        <f t="shared" si="3"/>
        <v>575678.2599999999</v>
      </c>
      <c r="I51" s="48">
        <f t="shared" si="3"/>
        <v>590383.2</v>
      </c>
      <c r="J51" s="48">
        <f t="shared" si="3"/>
        <v>605319.19</v>
      </c>
      <c r="K51" s="48">
        <f t="shared" si="3"/>
        <v>620554.7299999999</v>
      </c>
      <c r="L51" s="48">
        <f t="shared" si="3"/>
        <v>636385.6399999999</v>
      </c>
      <c r="M51" s="276"/>
      <c r="N51" s="277" t="s">
        <v>182</v>
      </c>
      <c r="P51" s="237"/>
      <c r="Q51" s="237"/>
    </row>
    <row r="52" spans="2:17" ht="15.75" customHeight="1">
      <c r="B52" s="143" t="s">
        <v>150</v>
      </c>
      <c r="C52" s="198" t="s">
        <v>420</v>
      </c>
      <c r="D52" s="198"/>
      <c r="E52" s="198"/>
      <c r="F52" s="198"/>
      <c r="G52" s="266">
        <f>ROUND(G40,2)+ROUND(G32,2)+ROUND(G20,2)+ROUND(G47,2)+ROUND(G49,2)</f>
        <v>557717.18</v>
      </c>
      <c r="H52" s="266">
        <f t="shared" si="3"/>
        <v>564003.48</v>
      </c>
      <c r="I52" s="266">
        <f t="shared" si="3"/>
        <v>577367.7</v>
      </c>
      <c r="J52" s="272">
        <f t="shared" si="3"/>
        <v>605319.19</v>
      </c>
      <c r="K52" s="272">
        <f t="shared" si="3"/>
        <v>620554.7299999999</v>
      </c>
      <c r="L52" s="272">
        <f t="shared" si="3"/>
        <v>636385.6399999999</v>
      </c>
      <c r="M52" s="278"/>
      <c r="N52" s="279" t="s">
        <v>211</v>
      </c>
      <c r="P52" s="237"/>
      <c r="Q52" s="237"/>
    </row>
    <row r="53" spans="2:17" ht="15" hidden="1">
      <c r="B53" s="137">
        <v>15</v>
      </c>
      <c r="C53" s="125" t="s">
        <v>95</v>
      </c>
      <c r="D53" s="125"/>
      <c r="E53" s="125"/>
      <c r="F53" s="125"/>
      <c r="G53" s="48">
        <v>-32745.543</v>
      </c>
      <c r="H53" s="48">
        <v>-31810.281000000003</v>
      </c>
      <c r="I53" s="48">
        <v>-32374.201999999997</v>
      </c>
      <c r="J53" s="48">
        <v>-32961.976</v>
      </c>
      <c r="K53" s="48">
        <v>-33556.957</v>
      </c>
      <c r="L53" s="48">
        <v>-34163.398</v>
      </c>
      <c r="M53" s="276"/>
      <c r="N53" s="277" t="s">
        <v>209</v>
      </c>
      <c r="P53" s="237"/>
      <c r="Q53" s="237"/>
    </row>
    <row r="54" spans="2:17" ht="15">
      <c r="B54" s="143" t="s">
        <v>146</v>
      </c>
      <c r="C54" s="198" t="s">
        <v>95</v>
      </c>
      <c r="D54" s="198"/>
      <c r="E54" s="198"/>
      <c r="F54" s="198"/>
      <c r="G54" s="258">
        <f>'[3]Sheet3'!G106</f>
        <v>-33063.884</v>
      </c>
      <c r="H54" s="258">
        <f>'[3]Sheet3'!H106</f>
        <v>-32022.539</v>
      </c>
      <c r="I54" s="258">
        <f>'[3]Sheet3'!I106</f>
        <v>-32411.962</v>
      </c>
      <c r="J54" s="273">
        <f>J53</f>
        <v>-32961.976</v>
      </c>
      <c r="K54" s="273">
        <f>K53</f>
        <v>-33556.957</v>
      </c>
      <c r="L54" s="273">
        <f>L53</f>
        <v>-34163.398</v>
      </c>
      <c r="M54" s="274"/>
      <c r="N54" s="275" t="s">
        <v>153</v>
      </c>
      <c r="P54" s="237"/>
      <c r="Q54" s="237"/>
    </row>
    <row r="55" spans="2:17" ht="15" hidden="1">
      <c r="B55" s="137">
        <v>16</v>
      </c>
      <c r="C55" s="125" t="s">
        <v>96</v>
      </c>
      <c r="D55" s="125"/>
      <c r="E55" s="125"/>
      <c r="F55" s="125"/>
      <c r="G55" s="48">
        <f>G51+ROUND(G53,2)</f>
        <v>525844.46</v>
      </c>
      <c r="H55" s="48">
        <f>H51+ROUND(H53,2)</f>
        <v>543867.9799999999</v>
      </c>
      <c r="I55" s="48">
        <f aca="true" t="shared" si="4" ref="I55:L56">I51+ROUND(I53,2)</f>
        <v>558009</v>
      </c>
      <c r="J55" s="48">
        <f t="shared" si="4"/>
        <v>572357.21</v>
      </c>
      <c r="K55" s="48">
        <f t="shared" si="4"/>
        <v>586997.7699999999</v>
      </c>
      <c r="L55" s="48">
        <f t="shared" si="4"/>
        <v>602222.2399999999</v>
      </c>
      <c r="M55" s="276"/>
      <c r="N55" s="277" t="s">
        <v>183</v>
      </c>
      <c r="P55" s="237"/>
      <c r="Q55" s="237"/>
    </row>
    <row r="56" spans="2:17" ht="15">
      <c r="B56" s="143" t="s">
        <v>145</v>
      </c>
      <c r="C56" s="198" t="s">
        <v>96</v>
      </c>
      <c r="D56" s="198"/>
      <c r="E56" s="198"/>
      <c r="F56" s="198"/>
      <c r="G56" s="295">
        <f>G52+ROUND(G54,2)</f>
        <v>524653.3</v>
      </c>
      <c r="H56" s="295">
        <f>H52+ROUND(H54,2)</f>
        <v>531980.94</v>
      </c>
      <c r="I56" s="295">
        <f t="shared" si="4"/>
        <v>544955.74</v>
      </c>
      <c r="J56" s="193">
        <f t="shared" si="4"/>
        <v>572357.21</v>
      </c>
      <c r="K56" s="193">
        <f>K52+ROUND(K54,2)</f>
        <v>586997.7699999999</v>
      </c>
      <c r="L56" s="193">
        <f t="shared" si="4"/>
        <v>602222.2399999999</v>
      </c>
      <c r="M56" s="281"/>
      <c r="N56" s="279" t="s">
        <v>184</v>
      </c>
      <c r="P56" s="237"/>
      <c r="Q56" s="237"/>
    </row>
    <row r="57" spans="2:17" ht="15" hidden="1">
      <c r="B57" s="27"/>
      <c r="C57" s="28"/>
      <c r="D57" s="28"/>
      <c r="E57" s="28"/>
      <c r="F57" s="28"/>
      <c r="G57" s="28"/>
      <c r="H57" s="29"/>
      <c r="I57" s="29"/>
      <c r="J57" s="29"/>
      <c r="K57" s="29"/>
      <c r="L57" s="29"/>
      <c r="M57" s="29"/>
      <c r="N57" s="29"/>
      <c r="P57" s="237"/>
      <c r="Q57" s="237"/>
    </row>
    <row r="58" spans="1:17" ht="15" hidden="1">
      <c r="A58" s="122"/>
      <c r="B58" s="423" t="s">
        <v>415</v>
      </c>
      <c r="C58" s="423"/>
      <c r="D58" s="423"/>
      <c r="E58" s="423"/>
      <c r="F58" s="423"/>
      <c r="G58" s="423"/>
      <c r="H58" s="423"/>
      <c r="I58" s="423"/>
      <c r="J58" s="423"/>
      <c r="K58" s="423"/>
      <c r="L58" s="423"/>
      <c r="M58" s="423"/>
      <c r="N58" s="423"/>
      <c r="P58" s="237"/>
      <c r="Q58" s="237"/>
    </row>
    <row r="59" spans="1:17" ht="15" hidden="1">
      <c r="A59" s="123"/>
      <c r="B59" s="423"/>
      <c r="C59" s="423"/>
      <c r="D59" s="423"/>
      <c r="E59" s="423"/>
      <c r="F59" s="423"/>
      <c r="G59" s="423"/>
      <c r="H59" s="423"/>
      <c r="I59" s="423"/>
      <c r="J59" s="423"/>
      <c r="K59" s="423"/>
      <c r="L59" s="423"/>
      <c r="M59" s="423"/>
      <c r="N59" s="423"/>
      <c r="P59" s="237"/>
      <c r="Q59" s="237"/>
    </row>
    <row r="60" spans="1:17" ht="15" hidden="1">
      <c r="A60" s="123"/>
      <c r="B60" s="423"/>
      <c r="C60" s="423"/>
      <c r="D60" s="423"/>
      <c r="E60" s="423"/>
      <c r="F60" s="423"/>
      <c r="G60" s="423"/>
      <c r="H60" s="423"/>
      <c r="I60" s="423"/>
      <c r="J60" s="423"/>
      <c r="K60" s="423"/>
      <c r="L60" s="423"/>
      <c r="M60" s="423"/>
      <c r="N60" s="423"/>
      <c r="P60" s="237"/>
      <c r="Q60" s="237"/>
    </row>
    <row r="61" spans="1:17" ht="15" hidden="1">
      <c r="A61" s="124"/>
      <c r="B61" s="423"/>
      <c r="C61" s="423"/>
      <c r="D61" s="423"/>
      <c r="E61" s="423"/>
      <c r="F61" s="423"/>
      <c r="G61" s="423"/>
      <c r="H61" s="423"/>
      <c r="I61" s="423"/>
      <c r="J61" s="423"/>
      <c r="K61" s="423"/>
      <c r="L61" s="423"/>
      <c r="M61" s="423"/>
      <c r="N61" s="423"/>
      <c r="P61" s="237"/>
      <c r="Q61" s="237"/>
    </row>
    <row r="62" spans="2:17" ht="15" hidden="1">
      <c r="B62" s="423"/>
      <c r="C62" s="423"/>
      <c r="D62" s="423"/>
      <c r="E62" s="423"/>
      <c r="F62" s="423"/>
      <c r="G62" s="423"/>
      <c r="H62" s="423"/>
      <c r="I62" s="423"/>
      <c r="J62" s="423"/>
      <c r="K62" s="423"/>
      <c r="L62" s="423"/>
      <c r="M62" s="423"/>
      <c r="N62" s="423"/>
      <c r="P62" s="237"/>
      <c r="Q62" s="237"/>
    </row>
    <row r="63" spans="2:17" ht="15">
      <c r="B63" s="282"/>
      <c r="C63" s="283"/>
      <c r="D63" s="256"/>
      <c r="E63" s="237"/>
      <c r="F63" s="237"/>
      <c r="G63" s="237"/>
      <c r="M63" s="35"/>
      <c r="P63" s="237"/>
      <c r="Q63" s="237"/>
    </row>
    <row r="64" spans="2:17" ht="15">
      <c r="B64" s="282"/>
      <c r="C64" s="283"/>
      <c r="D64" s="256"/>
      <c r="E64" s="237"/>
      <c r="F64" s="237"/>
      <c r="G64" s="237"/>
      <c r="M64" s="35"/>
      <c r="P64" s="237"/>
      <c r="Q64" s="237"/>
    </row>
    <row r="65" spans="2:17" ht="15">
      <c r="B65" s="237"/>
      <c r="C65" s="237"/>
      <c r="D65" s="237"/>
      <c r="E65" s="237"/>
      <c r="F65" s="237"/>
      <c r="G65" s="237"/>
      <c r="H65"/>
      <c r="I65"/>
      <c r="J65"/>
      <c r="K65"/>
      <c r="L65"/>
      <c r="M65"/>
      <c r="P65" s="237"/>
      <c r="Q65" s="237"/>
    </row>
    <row r="66" spans="16:17" ht="15">
      <c r="P66" s="237"/>
      <c r="Q66" s="237"/>
    </row>
    <row r="67" spans="16:17" ht="15">
      <c r="P67" s="237"/>
      <c r="Q67" s="237"/>
    </row>
    <row r="68" spans="16:17" ht="15">
      <c r="P68" s="237"/>
      <c r="Q68" s="237"/>
    </row>
  </sheetData>
  <sheetProtection/>
  <mergeCells count="9">
    <mergeCell ref="B58:N62"/>
    <mergeCell ref="B9:N9"/>
    <mergeCell ref="B7:N7"/>
    <mergeCell ref="B8:N8"/>
    <mergeCell ref="B41:N44"/>
    <mergeCell ref="B2:J2"/>
    <mergeCell ref="B3:J3"/>
    <mergeCell ref="B4:J4"/>
    <mergeCell ref="B5:J5"/>
  </mergeCells>
  <printOptions horizontalCentered="1"/>
  <pageMargins left="0.2" right="0.2" top="1.5" bottom="0.25" header="0.3" footer="0.3"/>
  <pageSetup fitToHeight="2" fitToWidth="1" horizontalDpi="600" verticalDpi="600" orientation="portrait" r:id="rId1"/>
  <headerFooter>
    <oddHeader>&amp;RSchedule LKM - 3</oddHeader>
  </headerFooter>
  <rowBreaks count="1" manualBreakCount="1">
    <brk id="45" min="1" max="13" man="1"/>
  </rowBreaks>
  <ignoredErrors>
    <ignoredError sqref="G11:I11" numberStoredAsText="1"/>
  </ignoredErrors>
</worksheet>
</file>

<file path=xl/worksheets/sheet5.xml><?xml version="1.0" encoding="utf-8"?>
<worksheet xmlns="http://schemas.openxmlformats.org/spreadsheetml/2006/main" xmlns:r="http://schemas.openxmlformats.org/officeDocument/2006/relationships">
  <sheetPr>
    <tabColor indexed="11"/>
  </sheetPr>
  <dimension ref="A2:AC260"/>
  <sheetViews>
    <sheetView showGridLines="0" zoomScale="130" zoomScaleNormal="130" zoomScaleSheetLayoutView="120" zoomScalePageLayoutView="0" workbookViewId="0" topLeftCell="A157">
      <selection activeCell="B169" sqref="B169:O177"/>
    </sheetView>
  </sheetViews>
  <sheetFormatPr defaultColWidth="9.00390625" defaultRowHeight="15.75"/>
  <cols>
    <col min="1" max="1" width="2.125" style="3" customWidth="1"/>
    <col min="2" max="2" width="8.125" style="3" customWidth="1"/>
    <col min="3" max="5" width="9.125" style="3" customWidth="1"/>
    <col min="6" max="6" width="2.125" style="3" customWidth="1"/>
    <col min="7" max="7" width="9.625" style="3" customWidth="1"/>
    <col min="8" max="9" width="10.625" style="3" customWidth="1"/>
    <col min="10" max="10" width="12.25390625" style="3" bestFit="1" customWidth="1"/>
    <col min="11" max="13" width="10.625" style="3" hidden="1" customWidth="1"/>
    <col min="14" max="14" width="3.375" style="3" hidden="1" customWidth="1"/>
    <col min="15" max="15" width="20.875" style="3" hidden="1" customWidth="1"/>
    <col min="16" max="16" width="36.00390625" style="3" customWidth="1"/>
    <col min="17" max="22" width="9.125" style="0" customWidth="1"/>
    <col min="23" max="23" width="2.75390625" style="0" customWidth="1"/>
    <col min="24" max="24" width="8.75390625" style="0" customWidth="1"/>
    <col min="25" max="16384" width="9.00390625" style="3" customWidth="1"/>
  </cols>
  <sheetData>
    <row r="2" spans="2:10" ht="15">
      <c r="B2" s="416" t="s">
        <v>422</v>
      </c>
      <c r="C2" s="416"/>
      <c r="D2" s="416"/>
      <c r="E2" s="416"/>
      <c r="F2" s="416"/>
      <c r="G2" s="416"/>
      <c r="H2" s="416"/>
      <c r="I2" s="416"/>
      <c r="J2" s="416"/>
    </row>
    <row r="3" spans="2:10" ht="15">
      <c r="B3" s="417" t="s">
        <v>435</v>
      </c>
      <c r="C3" s="417"/>
      <c r="D3" s="417"/>
      <c r="E3" s="417"/>
      <c r="F3" s="417"/>
      <c r="G3" s="417"/>
      <c r="H3" s="417"/>
      <c r="I3" s="417"/>
      <c r="J3" s="417"/>
    </row>
    <row r="4" spans="2:10" ht="15">
      <c r="B4" s="418" t="s">
        <v>424</v>
      </c>
      <c r="C4" s="418"/>
      <c r="D4" s="418"/>
      <c r="E4" s="418"/>
      <c r="F4" s="418"/>
      <c r="G4" s="418"/>
      <c r="H4" s="418"/>
      <c r="I4" s="418"/>
      <c r="J4" s="418"/>
    </row>
    <row r="5" spans="2:10" ht="15">
      <c r="B5" s="417" t="s">
        <v>433</v>
      </c>
      <c r="C5" s="417"/>
      <c r="D5" s="417"/>
      <c r="E5" s="417"/>
      <c r="F5" s="417"/>
      <c r="G5" s="417"/>
      <c r="H5" s="417"/>
      <c r="I5" s="417"/>
      <c r="J5" s="417"/>
    </row>
    <row r="7" ht="15" hidden="1"/>
    <row r="8" spans="2:15" ht="17.25" hidden="1">
      <c r="B8" s="397" t="s">
        <v>3</v>
      </c>
      <c r="C8" s="432"/>
      <c r="D8" s="432"/>
      <c r="E8" s="432"/>
      <c r="F8" s="432"/>
      <c r="G8" s="432"/>
      <c r="H8" s="432"/>
      <c r="I8" s="432"/>
      <c r="J8" s="432"/>
      <c r="K8" s="432"/>
      <c r="L8" s="432"/>
      <c r="M8" s="432"/>
      <c r="N8" s="432"/>
      <c r="O8" s="432"/>
    </row>
    <row r="9" spans="2:15" ht="17.25" hidden="1">
      <c r="B9" s="441" t="s">
        <v>5</v>
      </c>
      <c r="C9" s="442"/>
      <c r="D9" s="442"/>
      <c r="E9" s="442"/>
      <c r="F9" s="442"/>
      <c r="G9" s="442"/>
      <c r="H9" s="442"/>
      <c r="I9" s="442"/>
      <c r="J9" s="442"/>
      <c r="K9" s="442"/>
      <c r="L9" s="442"/>
      <c r="M9" s="442"/>
      <c r="N9" s="442"/>
      <c r="O9" s="442"/>
    </row>
    <row r="10" spans="2:24" s="26" customFormat="1" ht="18.75" customHeight="1" hidden="1">
      <c r="B10" s="443" t="s">
        <v>405</v>
      </c>
      <c r="C10" s="444"/>
      <c r="D10" s="444"/>
      <c r="E10" s="444"/>
      <c r="F10" s="444"/>
      <c r="G10" s="444"/>
      <c r="H10" s="444"/>
      <c r="I10" s="444"/>
      <c r="J10" s="444"/>
      <c r="K10" s="444"/>
      <c r="L10" s="444"/>
      <c r="M10" s="444"/>
      <c r="N10" s="444"/>
      <c r="O10" s="444"/>
      <c r="Q10"/>
      <c r="R10"/>
      <c r="S10"/>
      <c r="T10"/>
      <c r="U10"/>
      <c r="V10"/>
      <c r="W10"/>
      <c r="X10"/>
    </row>
    <row r="11" spans="2:15" ht="17.25" hidden="1">
      <c r="B11" s="18" t="s">
        <v>6</v>
      </c>
      <c r="C11" s="19"/>
      <c r="D11" s="19"/>
      <c r="E11" s="19"/>
      <c r="F11" s="20"/>
      <c r="G11" s="21"/>
      <c r="H11" s="22"/>
      <c r="I11" s="22"/>
      <c r="J11" s="22"/>
      <c r="K11" s="22"/>
      <c r="L11" s="22"/>
      <c r="M11" s="23"/>
      <c r="N11" s="46"/>
      <c r="O11" s="46"/>
    </row>
    <row r="12" spans="2:15" ht="17.25">
      <c r="B12" s="234" t="s">
        <v>244</v>
      </c>
      <c r="C12" s="437" t="s">
        <v>0</v>
      </c>
      <c r="D12" s="437"/>
      <c r="E12" s="437"/>
      <c r="F12" s="437"/>
      <c r="G12" s="437"/>
      <c r="H12" s="235" t="s">
        <v>427</v>
      </c>
      <c r="I12" s="235" t="s">
        <v>426</v>
      </c>
      <c r="J12" s="235" t="s">
        <v>425</v>
      </c>
      <c r="K12" s="24">
        <v>2024</v>
      </c>
      <c r="L12" s="24">
        <v>2025</v>
      </c>
      <c r="M12" s="24">
        <v>2026</v>
      </c>
      <c r="N12" s="69"/>
      <c r="O12" s="136" t="s">
        <v>208</v>
      </c>
    </row>
    <row r="13" spans="1:15" ht="7.5" customHeight="1">
      <c r="A13" s="4"/>
      <c r="B13" s="70"/>
      <c r="C13" s="25"/>
      <c r="D13" s="25"/>
      <c r="E13" s="25"/>
      <c r="F13" s="25"/>
      <c r="G13" s="25"/>
      <c r="H13" s="25"/>
      <c r="I13" s="25"/>
      <c r="J13" s="25"/>
      <c r="K13" s="25"/>
      <c r="L13" s="25"/>
      <c r="M13" s="25"/>
      <c r="N13" s="70"/>
      <c r="O13" s="26"/>
    </row>
    <row r="14" spans="1:15" ht="15">
      <c r="A14" s="5"/>
      <c r="B14" s="253">
        <v>1</v>
      </c>
      <c r="C14" s="246" t="s">
        <v>97</v>
      </c>
      <c r="D14" s="246"/>
      <c r="E14" s="246"/>
      <c r="F14" s="246"/>
      <c r="G14" s="246"/>
      <c r="H14" s="305">
        <v>14000</v>
      </c>
      <c r="I14" s="305">
        <v>13595</v>
      </c>
      <c r="J14" s="305">
        <v>11871</v>
      </c>
      <c r="K14" s="48">
        <v>10147</v>
      </c>
      <c r="L14" s="48">
        <v>8423</v>
      </c>
      <c r="M14" s="48">
        <v>6699</v>
      </c>
      <c r="N14" s="71"/>
      <c r="O14" s="112" t="s">
        <v>209</v>
      </c>
    </row>
    <row r="15" spans="1:15" ht="15">
      <c r="A15" s="5"/>
      <c r="B15" s="253">
        <v>2</v>
      </c>
      <c r="C15" s="246" t="s">
        <v>98</v>
      </c>
      <c r="D15" s="246"/>
      <c r="E15" s="246"/>
      <c r="F15" s="246"/>
      <c r="G15" s="246"/>
      <c r="H15" s="240">
        <v>328000</v>
      </c>
      <c r="I15" s="240">
        <v>250550</v>
      </c>
      <c r="J15" s="240">
        <v>309300</v>
      </c>
      <c r="K15" s="48">
        <v>306600</v>
      </c>
      <c r="L15" s="48">
        <v>190300</v>
      </c>
      <c r="M15" s="48">
        <v>301300</v>
      </c>
      <c r="N15" s="71"/>
      <c r="O15" s="112" t="s">
        <v>209</v>
      </c>
    </row>
    <row r="16" spans="1:15" ht="15">
      <c r="A16" s="5"/>
      <c r="B16" s="253">
        <v>3</v>
      </c>
      <c r="C16" s="246" t="s">
        <v>99</v>
      </c>
      <c r="D16" s="246"/>
      <c r="E16" s="246"/>
      <c r="F16" s="246"/>
      <c r="G16" s="246"/>
      <c r="H16" s="240">
        <v>93060</v>
      </c>
      <c r="I16" s="240">
        <v>30760</v>
      </c>
      <c r="J16" s="240">
        <v>106760</v>
      </c>
      <c r="K16" s="48">
        <v>177860</v>
      </c>
      <c r="L16" s="48">
        <v>118160</v>
      </c>
      <c r="M16" s="48">
        <v>108760</v>
      </c>
      <c r="N16" s="71"/>
      <c r="O16" s="112" t="s">
        <v>209</v>
      </c>
    </row>
    <row r="17" spans="1:15" ht="15">
      <c r="A17" s="5"/>
      <c r="B17" s="253">
        <v>4</v>
      </c>
      <c r="C17" s="246" t="s">
        <v>100</v>
      </c>
      <c r="D17" s="246"/>
      <c r="E17" s="246"/>
      <c r="F17" s="246"/>
      <c r="G17" s="246"/>
      <c r="H17" s="240">
        <v>5000</v>
      </c>
      <c r="I17" s="240">
        <v>5000</v>
      </c>
      <c r="J17" s="240">
        <v>5000</v>
      </c>
      <c r="K17" s="48">
        <v>5000</v>
      </c>
      <c r="L17" s="48">
        <v>5000</v>
      </c>
      <c r="M17" s="48">
        <v>5000</v>
      </c>
      <c r="N17" s="71"/>
      <c r="O17" s="112" t="s">
        <v>209</v>
      </c>
    </row>
    <row r="18" spans="1:15" ht="15">
      <c r="A18" s="5"/>
      <c r="B18" s="253">
        <v>5</v>
      </c>
      <c r="C18" s="246" t="s">
        <v>101</v>
      </c>
      <c r="D18" s="246"/>
      <c r="E18" s="246"/>
      <c r="F18" s="246"/>
      <c r="G18" s="246"/>
      <c r="H18" s="240">
        <v>15000</v>
      </c>
      <c r="I18" s="240">
        <v>0</v>
      </c>
      <c r="J18" s="240">
        <v>15000</v>
      </c>
      <c r="K18" s="48">
        <v>15000</v>
      </c>
      <c r="L18" s="48">
        <v>15000</v>
      </c>
      <c r="M18" s="48">
        <v>15000</v>
      </c>
      <c r="N18" s="71"/>
      <c r="O18" s="112" t="s">
        <v>209</v>
      </c>
    </row>
    <row r="19" spans="1:15" ht="15">
      <c r="A19" s="5"/>
      <c r="B19" s="253">
        <v>6</v>
      </c>
      <c r="C19" s="246" t="s">
        <v>102</v>
      </c>
      <c r="D19" s="246"/>
      <c r="E19" s="246"/>
      <c r="F19" s="246"/>
      <c r="G19" s="246"/>
      <c r="H19" s="240">
        <v>72460</v>
      </c>
      <c r="I19" s="240">
        <v>45260</v>
      </c>
      <c r="J19" s="240">
        <v>68360</v>
      </c>
      <c r="K19" s="48">
        <v>68360</v>
      </c>
      <c r="L19" s="48">
        <v>68360</v>
      </c>
      <c r="M19" s="48">
        <v>68360</v>
      </c>
      <c r="N19" s="71"/>
      <c r="O19" s="112" t="s">
        <v>209</v>
      </c>
    </row>
    <row r="20" spans="1:15" ht="15">
      <c r="A20" s="5"/>
      <c r="B20" s="253">
        <v>7</v>
      </c>
      <c r="C20" s="246" t="s">
        <v>103</v>
      </c>
      <c r="D20" s="246"/>
      <c r="E20" s="246"/>
      <c r="F20" s="246"/>
      <c r="G20" s="246"/>
      <c r="H20" s="240">
        <v>72000</v>
      </c>
      <c r="I20" s="240">
        <v>20000</v>
      </c>
      <c r="J20" s="240">
        <v>72000</v>
      </c>
      <c r="K20" s="48">
        <v>72000</v>
      </c>
      <c r="L20" s="48">
        <v>72000</v>
      </c>
      <c r="M20" s="48">
        <v>134000</v>
      </c>
      <c r="N20" s="71"/>
      <c r="O20" s="112" t="s">
        <v>209</v>
      </c>
    </row>
    <row r="21" spans="1:15" ht="15">
      <c r="A21" s="5"/>
      <c r="B21" s="253">
        <v>8</v>
      </c>
      <c r="C21" s="246" t="s">
        <v>104</v>
      </c>
      <c r="D21" s="246"/>
      <c r="E21" s="246"/>
      <c r="F21" s="246"/>
      <c r="G21" s="246"/>
      <c r="H21" s="240">
        <v>12000</v>
      </c>
      <c r="I21" s="240">
        <v>12000</v>
      </c>
      <c r="J21" s="240">
        <v>12000</v>
      </c>
      <c r="K21" s="48">
        <v>12000</v>
      </c>
      <c r="L21" s="48">
        <v>12000</v>
      </c>
      <c r="M21" s="48">
        <v>12000</v>
      </c>
      <c r="N21" s="71"/>
      <c r="O21" s="112" t="s">
        <v>209</v>
      </c>
    </row>
    <row r="22" spans="1:15" ht="2.25" customHeight="1">
      <c r="A22" s="5"/>
      <c r="B22" s="253"/>
      <c r="C22" s="259"/>
      <c r="D22" s="259"/>
      <c r="E22" s="259"/>
      <c r="F22" s="259"/>
      <c r="G22" s="259"/>
      <c r="H22" s="240"/>
      <c r="I22" s="240"/>
      <c r="J22" s="240"/>
      <c r="K22" s="296"/>
      <c r="L22" s="296"/>
      <c r="M22" s="296"/>
      <c r="N22" s="296"/>
      <c r="O22" s="296"/>
    </row>
    <row r="23" spans="1:16" ht="15">
      <c r="A23" s="5"/>
      <c r="B23" s="253">
        <v>9</v>
      </c>
      <c r="C23" s="246" t="s">
        <v>105</v>
      </c>
      <c r="D23" s="246"/>
      <c r="E23" s="246"/>
      <c r="F23" s="246"/>
      <c r="G23" s="246"/>
      <c r="H23" s="240">
        <f aca="true" t="shared" si="0" ref="H23:M23">SUM(H14:H22)</f>
        <v>611520</v>
      </c>
      <c r="I23" s="240">
        <f t="shared" si="0"/>
        <v>377165</v>
      </c>
      <c r="J23" s="240">
        <f t="shared" si="0"/>
        <v>600291</v>
      </c>
      <c r="K23" s="48">
        <f t="shared" si="0"/>
        <v>666967</v>
      </c>
      <c r="L23" s="48">
        <f t="shared" si="0"/>
        <v>489243</v>
      </c>
      <c r="M23" s="48">
        <f t="shared" si="0"/>
        <v>651119</v>
      </c>
      <c r="N23" s="71"/>
      <c r="O23" s="112" t="s">
        <v>190</v>
      </c>
      <c r="P23" s="78"/>
    </row>
    <row r="24" spans="1:15" ht="15" customHeight="1">
      <c r="A24" s="5"/>
      <c r="B24" s="253">
        <v>10</v>
      </c>
      <c r="C24" s="246" t="s">
        <v>106</v>
      </c>
      <c r="D24" s="246"/>
      <c r="E24" s="246"/>
      <c r="F24" s="246"/>
      <c r="G24" s="246"/>
      <c r="H24" s="258">
        <v>0</v>
      </c>
      <c r="I24" s="258">
        <v>0</v>
      </c>
      <c r="J24" s="258">
        <v>18008.79999999999</v>
      </c>
      <c r="K24" s="48">
        <v>40618.30000000005</v>
      </c>
      <c r="L24" s="48">
        <v>45366.20000000001</v>
      </c>
      <c r="M24" s="48">
        <v>81721.20000000001</v>
      </c>
      <c r="N24" s="71"/>
      <c r="O24" s="112" t="s">
        <v>209</v>
      </c>
    </row>
    <row r="25" spans="1:15" ht="2.25" customHeight="1">
      <c r="A25" s="5"/>
      <c r="B25" s="253"/>
      <c r="C25" s="259"/>
      <c r="D25" s="259"/>
      <c r="E25" s="259"/>
      <c r="F25" s="259"/>
      <c r="G25" s="259"/>
      <c r="H25" s="240"/>
      <c r="I25" s="240"/>
      <c r="J25" s="240"/>
      <c r="K25" s="296"/>
      <c r="L25" s="296"/>
      <c r="M25" s="296"/>
      <c r="N25" s="296"/>
      <c r="O25" s="296"/>
    </row>
    <row r="26" spans="1:29" ht="15">
      <c r="A26" s="5"/>
      <c r="B26" s="253">
        <v>11</v>
      </c>
      <c r="C26" s="246" t="s">
        <v>107</v>
      </c>
      <c r="D26" s="246"/>
      <c r="E26" s="246"/>
      <c r="F26" s="246"/>
      <c r="G26" s="246"/>
      <c r="H26" s="305">
        <f aca="true" t="shared" si="1" ref="H26:M26">H23+ROUND(H24,2)</f>
        <v>611520</v>
      </c>
      <c r="I26" s="305">
        <f t="shared" si="1"/>
        <v>377165</v>
      </c>
      <c r="J26" s="305">
        <f t="shared" si="1"/>
        <v>618299.8</v>
      </c>
      <c r="K26" s="48">
        <f t="shared" si="1"/>
        <v>707585.3</v>
      </c>
      <c r="L26" s="48">
        <f t="shared" si="1"/>
        <v>534609.2</v>
      </c>
      <c r="M26" s="48">
        <f t="shared" si="1"/>
        <v>732840.2</v>
      </c>
      <c r="N26" s="71"/>
      <c r="O26" s="112" t="s">
        <v>185</v>
      </c>
      <c r="P26" s="78"/>
      <c r="Y26" s="44">
        <f>SUM(I14:I21)+I24-I26</f>
        <v>0</v>
      </c>
      <c r="Z26" s="44">
        <f>SUM(J14:J21)+J24-J26</f>
        <v>0</v>
      </c>
      <c r="AA26" s="44">
        <f>SUM(K14:K21)+K24-K26</f>
        <v>0</v>
      </c>
      <c r="AB26" s="44">
        <f>SUM(L14:L21)+L24-L26</f>
        <v>0</v>
      </c>
      <c r="AC26" s="44">
        <f>SUM(M14:M21)+M24-M26</f>
        <v>0</v>
      </c>
    </row>
    <row r="27" spans="1:29" ht="15">
      <c r="A27" s="5"/>
      <c r="B27" s="253">
        <v>12</v>
      </c>
      <c r="C27" s="246" t="s">
        <v>252</v>
      </c>
      <c r="D27" s="246"/>
      <c r="E27" s="246"/>
      <c r="F27" s="246"/>
      <c r="G27" s="246"/>
      <c r="H27" s="258">
        <v>-344975.42299999995</v>
      </c>
      <c r="I27" s="258">
        <v>352000.00000000006</v>
      </c>
      <c r="J27" s="258">
        <v>0</v>
      </c>
      <c r="K27" s="48">
        <v>0</v>
      </c>
      <c r="L27" s="48">
        <v>0</v>
      </c>
      <c r="M27" s="48">
        <v>0</v>
      </c>
      <c r="N27" s="71"/>
      <c r="O27" s="112" t="s">
        <v>209</v>
      </c>
      <c r="P27" s="78"/>
      <c r="Y27" s="44"/>
      <c r="Z27" s="44"/>
      <c r="AA27" s="44"/>
      <c r="AB27" s="44"/>
      <c r="AC27" s="44"/>
    </row>
    <row r="28" spans="1:15" ht="2.25" customHeight="1">
      <c r="A28" s="5"/>
      <c r="B28" s="253"/>
      <c r="C28" s="259"/>
      <c r="D28" s="259"/>
      <c r="E28" s="259"/>
      <c r="F28" s="259"/>
      <c r="G28" s="259"/>
      <c r="H28" s="240"/>
      <c r="I28" s="240"/>
      <c r="J28" s="240"/>
      <c r="K28" s="296"/>
      <c r="L28" s="296"/>
      <c r="M28" s="296"/>
      <c r="N28" s="296"/>
      <c r="O28" s="296"/>
    </row>
    <row r="29" spans="1:29" ht="15">
      <c r="A29" s="5"/>
      <c r="B29" s="253">
        <v>13</v>
      </c>
      <c r="C29" s="246" t="s">
        <v>253</v>
      </c>
      <c r="D29" s="246"/>
      <c r="E29" s="246"/>
      <c r="F29" s="246"/>
      <c r="G29" s="246"/>
      <c r="H29" s="305">
        <f aca="true" t="shared" si="2" ref="H29:M29">H26+ROUND(H27,2)</f>
        <v>266544.58</v>
      </c>
      <c r="I29" s="305">
        <f t="shared" si="2"/>
        <v>729165</v>
      </c>
      <c r="J29" s="305">
        <f t="shared" si="2"/>
        <v>618299.8</v>
      </c>
      <c r="K29" s="48">
        <f t="shared" si="2"/>
        <v>707585.3</v>
      </c>
      <c r="L29" s="48">
        <f t="shared" si="2"/>
        <v>534609.2</v>
      </c>
      <c r="M29" s="48">
        <f t="shared" si="2"/>
        <v>732840.2</v>
      </c>
      <c r="N29" s="71"/>
      <c r="O29" s="112" t="s">
        <v>191</v>
      </c>
      <c r="P29" s="78"/>
      <c r="Y29" s="44"/>
      <c r="Z29" s="44"/>
      <c r="AA29" s="44"/>
      <c r="AB29" s="44"/>
      <c r="AC29" s="44"/>
    </row>
    <row r="30" spans="1:29" ht="15">
      <c r="A30" s="5"/>
      <c r="B30" s="253">
        <v>14</v>
      </c>
      <c r="C30" s="246" t="s">
        <v>254</v>
      </c>
      <c r="D30" s="246"/>
      <c r="E30" s="246"/>
      <c r="F30" s="246"/>
      <c r="G30" s="246"/>
      <c r="H30" s="240">
        <v>-35028</v>
      </c>
      <c r="I30" s="240">
        <v>-105535.50000000006</v>
      </c>
      <c r="J30" s="240">
        <v>-89056.88999999998</v>
      </c>
      <c r="K30" s="48">
        <v>-102613.42500000008</v>
      </c>
      <c r="L30" s="48">
        <v>-76843.845</v>
      </c>
      <c r="M30" s="48">
        <v>-106769.13000000006</v>
      </c>
      <c r="N30" s="71"/>
      <c r="O30" s="112" t="s">
        <v>209</v>
      </c>
      <c r="P30" s="78"/>
      <c r="Y30" s="44"/>
      <c r="Z30" s="44"/>
      <c r="AA30" s="44"/>
      <c r="AB30" s="44"/>
      <c r="AC30" s="44"/>
    </row>
    <row r="31" spans="1:15" ht="2.25" customHeight="1">
      <c r="A31" s="5"/>
      <c r="B31" s="253"/>
      <c r="C31" s="259"/>
      <c r="D31" s="259"/>
      <c r="E31" s="259"/>
      <c r="F31" s="259"/>
      <c r="G31" s="259"/>
      <c r="H31" s="240"/>
      <c r="I31" s="240"/>
      <c r="J31" s="240"/>
      <c r="K31" s="296"/>
      <c r="L31" s="296"/>
      <c r="M31" s="296"/>
      <c r="N31" s="296"/>
      <c r="O31" s="296"/>
    </row>
    <row r="32" spans="1:29" ht="15">
      <c r="A32" s="5"/>
      <c r="B32" s="253">
        <v>15</v>
      </c>
      <c r="C32" s="246" t="s">
        <v>255</v>
      </c>
      <c r="D32" s="246"/>
      <c r="E32" s="246"/>
      <c r="F32" s="246"/>
      <c r="G32" s="246"/>
      <c r="H32" s="240">
        <f aca="true" t="shared" si="3" ref="H32:M32">H29+ROUND(H30,2)</f>
        <v>231516.58000000002</v>
      </c>
      <c r="I32" s="240">
        <f t="shared" si="3"/>
        <v>623629.5</v>
      </c>
      <c r="J32" s="240">
        <f t="shared" si="3"/>
        <v>529242.91</v>
      </c>
      <c r="K32" s="48">
        <f t="shared" si="3"/>
        <v>604971.8700000001</v>
      </c>
      <c r="L32" s="48">
        <f t="shared" si="3"/>
        <v>457765.35</v>
      </c>
      <c r="M32" s="48">
        <f t="shared" si="3"/>
        <v>626071.07</v>
      </c>
      <c r="N32" s="71"/>
      <c r="O32" s="112" t="s">
        <v>276</v>
      </c>
      <c r="P32" s="78"/>
      <c r="Y32" s="44"/>
      <c r="Z32" s="44"/>
      <c r="AA32" s="44"/>
      <c r="AB32" s="44"/>
      <c r="AC32" s="44"/>
    </row>
    <row r="33" spans="1:29" ht="15">
      <c r="A33" s="5"/>
      <c r="B33" s="253">
        <v>16</v>
      </c>
      <c r="C33" s="246" t="s">
        <v>272</v>
      </c>
      <c r="D33" s="246"/>
      <c r="E33" s="246"/>
      <c r="F33" s="246"/>
      <c r="G33" s="246"/>
      <c r="H33" s="240">
        <v>324964.4342222222</v>
      </c>
      <c r="I33" s="240">
        <v>345302.6666666666</v>
      </c>
      <c r="J33" s="240">
        <v>426729.8933333333</v>
      </c>
      <c r="K33" s="48">
        <v>535537.5228500001</v>
      </c>
      <c r="L33" s="48">
        <v>545259.733513</v>
      </c>
      <c r="M33" s="48">
        <v>562221.8805498667</v>
      </c>
      <c r="N33" s="71"/>
      <c r="O33" s="112" t="s">
        <v>209</v>
      </c>
      <c r="P33" s="78"/>
      <c r="Y33" s="44"/>
      <c r="Z33" s="44"/>
      <c r="AA33" s="44"/>
      <c r="AB33" s="44"/>
      <c r="AC33" s="44"/>
    </row>
    <row r="34" spans="1:29" ht="15">
      <c r="A34" s="5"/>
      <c r="B34" s="253" t="s">
        <v>145</v>
      </c>
      <c r="C34" s="246" t="s">
        <v>279</v>
      </c>
      <c r="D34" s="246"/>
      <c r="E34" s="246"/>
      <c r="F34" s="246"/>
      <c r="G34" s="246"/>
      <c r="H34" s="258">
        <f>0</f>
        <v>0</v>
      </c>
      <c r="I34" s="258">
        <f>0</f>
        <v>0</v>
      </c>
      <c r="J34" s="258">
        <f>'[3]Sheet1'!$F$10</f>
        <v>-18008.8</v>
      </c>
      <c r="K34" s="269">
        <f>0</f>
        <v>0</v>
      </c>
      <c r="L34" s="269">
        <f>0</f>
        <v>0</v>
      </c>
      <c r="M34" s="269">
        <f>0</f>
        <v>0</v>
      </c>
      <c r="N34" s="297"/>
      <c r="O34" s="113" t="s">
        <v>153</v>
      </c>
      <c r="P34" s="78"/>
      <c r="Y34" s="44"/>
      <c r="Z34" s="44"/>
      <c r="AA34" s="44"/>
      <c r="AB34" s="44"/>
      <c r="AC34" s="44"/>
    </row>
    <row r="35" spans="1:29" ht="15">
      <c r="A35" s="5"/>
      <c r="B35" s="253" t="s">
        <v>281</v>
      </c>
      <c r="C35" s="246" t="s">
        <v>280</v>
      </c>
      <c r="D35" s="246"/>
      <c r="E35" s="246"/>
      <c r="F35" s="246"/>
      <c r="G35" s="246"/>
      <c r="H35" s="305">
        <f aca="true" t="shared" si="4" ref="H35:M35">H33+H34</f>
        <v>324964.4342222222</v>
      </c>
      <c r="I35" s="305">
        <f t="shared" si="4"/>
        <v>345302.6666666666</v>
      </c>
      <c r="J35" s="305">
        <f t="shared" si="4"/>
        <v>408721.0933333333</v>
      </c>
      <c r="K35" s="40">
        <f t="shared" si="4"/>
        <v>535537.5228500001</v>
      </c>
      <c r="L35" s="40">
        <f t="shared" si="4"/>
        <v>545259.733513</v>
      </c>
      <c r="M35" s="40">
        <f t="shared" si="4"/>
        <v>562221.8805498667</v>
      </c>
      <c r="N35" s="298"/>
      <c r="O35" s="114" t="s">
        <v>282</v>
      </c>
      <c r="P35" s="78"/>
      <c r="Y35" s="44"/>
      <c r="Z35" s="44"/>
      <c r="AA35" s="44"/>
      <c r="AB35" s="44"/>
      <c r="AC35" s="44"/>
    </row>
    <row r="36" spans="1:29" ht="15">
      <c r="A36" s="5"/>
      <c r="B36" s="253">
        <v>17</v>
      </c>
      <c r="C36" s="246" t="s">
        <v>277</v>
      </c>
      <c r="D36" s="246"/>
      <c r="E36" s="246"/>
      <c r="F36" s="246"/>
      <c r="G36" s="246"/>
      <c r="H36" s="305">
        <f aca="true" t="shared" si="5" ref="H36:M36">H32-H33</f>
        <v>-93447.85422222217</v>
      </c>
      <c r="I36" s="305">
        <f t="shared" si="5"/>
        <v>278326.8333333334</v>
      </c>
      <c r="J36" s="305">
        <f t="shared" si="5"/>
        <v>102513.01666666672</v>
      </c>
      <c r="K36" s="48">
        <f t="shared" si="5"/>
        <v>69434.34715000005</v>
      </c>
      <c r="L36" s="48">
        <f t="shared" si="5"/>
        <v>-87494.38351299998</v>
      </c>
      <c r="M36" s="48">
        <f t="shared" si="5"/>
        <v>63849.18945013324</v>
      </c>
      <c r="N36" s="71"/>
      <c r="O36" s="112" t="s">
        <v>278</v>
      </c>
      <c r="P36" s="78"/>
      <c r="Y36" s="44"/>
      <c r="Z36" s="44"/>
      <c r="AA36" s="44"/>
      <c r="AB36" s="44"/>
      <c r="AC36" s="44"/>
    </row>
    <row r="37" spans="2:15" ht="2.25" customHeight="1">
      <c r="B37" s="304"/>
      <c r="C37" s="243"/>
      <c r="D37" s="243"/>
      <c r="E37" s="243"/>
      <c r="F37" s="243"/>
      <c r="G37" s="243"/>
      <c r="H37" s="262"/>
      <c r="I37" s="262"/>
      <c r="J37" s="262"/>
      <c r="K37" s="29"/>
      <c r="L37" s="29"/>
      <c r="M37" s="29"/>
      <c r="N37" s="29"/>
      <c r="O37" s="29"/>
    </row>
    <row r="38" spans="1:15" ht="6.75" customHeight="1">
      <c r="A38" s="5"/>
      <c r="B38" s="25"/>
      <c r="C38" s="25"/>
      <c r="D38" s="25"/>
      <c r="E38" s="25"/>
      <c r="F38" s="25"/>
      <c r="G38" s="15"/>
      <c r="H38" s="25"/>
      <c r="I38" s="25"/>
      <c r="J38" s="25"/>
      <c r="K38" s="25"/>
      <c r="L38" s="25"/>
      <c r="M38" s="25"/>
      <c r="N38" s="25"/>
      <c r="O38" s="26"/>
    </row>
    <row r="39" spans="1:15" ht="15">
      <c r="A39" s="5"/>
      <c r="B39" s="306" t="s">
        <v>301</v>
      </c>
      <c r="D39" s="25"/>
      <c r="E39" s="25"/>
      <c r="F39" s="25"/>
      <c r="G39" s="15"/>
      <c r="H39" s="25"/>
      <c r="I39" s="25"/>
      <c r="J39" s="25"/>
      <c r="K39" s="25"/>
      <c r="L39" s="25"/>
      <c r="M39" s="25"/>
      <c r="N39" s="25"/>
      <c r="O39" s="26"/>
    </row>
    <row r="40" spans="1:15" ht="15">
      <c r="A40" s="5"/>
      <c r="B40" s="307" t="s">
        <v>302</v>
      </c>
      <c r="D40" s="25"/>
      <c r="E40" s="25"/>
      <c r="F40" s="25"/>
      <c r="G40" s="15"/>
      <c r="H40" s="120"/>
      <c r="I40" s="120"/>
      <c r="J40" s="120"/>
      <c r="K40" s="120"/>
      <c r="L40" s="120"/>
      <c r="M40" s="25"/>
      <c r="N40" s="25"/>
      <c r="O40" s="26"/>
    </row>
    <row r="41" spans="1:15" ht="15">
      <c r="A41" s="5"/>
      <c r="B41" s="308" t="s">
        <v>303</v>
      </c>
      <c r="D41" s="25"/>
      <c r="E41" s="25"/>
      <c r="F41" s="25"/>
      <c r="G41" s="15"/>
      <c r="H41" s="120"/>
      <c r="I41" s="120"/>
      <c r="J41" s="120"/>
      <c r="K41" s="120"/>
      <c r="L41" s="120"/>
      <c r="M41" s="25"/>
      <c r="N41" s="25"/>
      <c r="O41" s="26"/>
    </row>
    <row r="42" spans="1:15" ht="15">
      <c r="A42" s="5"/>
      <c r="B42" s="25"/>
      <c r="C42" s="299"/>
      <c r="D42" s="25"/>
      <c r="E42" s="25"/>
      <c r="F42" s="25"/>
      <c r="G42" s="15"/>
      <c r="H42" s="120"/>
      <c r="I42" s="120"/>
      <c r="J42" s="120"/>
      <c r="K42" s="120"/>
      <c r="L42" s="120"/>
      <c r="M42" s="25"/>
      <c r="N42" s="25"/>
      <c r="O42" s="26"/>
    </row>
    <row r="43" spans="1:15" ht="15.75" customHeight="1" hidden="1">
      <c r="A43" s="5"/>
      <c r="B43" s="423" t="s">
        <v>401</v>
      </c>
      <c r="C43" s="423"/>
      <c r="D43" s="423"/>
      <c r="E43" s="423"/>
      <c r="F43" s="423"/>
      <c r="G43" s="423"/>
      <c r="H43" s="423"/>
      <c r="I43" s="423"/>
      <c r="J43" s="423"/>
      <c r="K43" s="423"/>
      <c r="L43" s="423"/>
      <c r="M43" s="423"/>
      <c r="N43" s="423"/>
      <c r="O43" s="423"/>
    </row>
    <row r="44" spans="1:15" ht="15" hidden="1">
      <c r="A44" s="5"/>
      <c r="B44" s="423"/>
      <c r="C44" s="423"/>
      <c r="D44" s="423"/>
      <c r="E44" s="423"/>
      <c r="F44" s="423"/>
      <c r="G44" s="423"/>
      <c r="H44" s="423"/>
      <c r="I44" s="423"/>
      <c r="J44" s="423"/>
      <c r="K44" s="423"/>
      <c r="L44" s="423"/>
      <c r="M44" s="423"/>
      <c r="N44" s="423"/>
      <c r="O44" s="423"/>
    </row>
    <row r="45" spans="1:15" ht="15" hidden="1">
      <c r="A45" s="5"/>
      <c r="B45" s="423"/>
      <c r="C45" s="423"/>
      <c r="D45" s="423"/>
      <c r="E45" s="423"/>
      <c r="F45" s="423"/>
      <c r="G45" s="423"/>
      <c r="H45" s="423"/>
      <c r="I45" s="423"/>
      <c r="J45" s="423"/>
      <c r="K45" s="423"/>
      <c r="L45" s="423"/>
      <c r="M45" s="423"/>
      <c r="N45" s="423"/>
      <c r="O45" s="423"/>
    </row>
    <row r="46" spans="1:15" ht="15" hidden="1">
      <c r="A46" s="5"/>
      <c r="B46" s="423"/>
      <c r="C46" s="423"/>
      <c r="D46" s="423"/>
      <c r="E46" s="423"/>
      <c r="F46" s="423"/>
      <c r="G46" s="423"/>
      <c r="H46" s="423"/>
      <c r="I46" s="423"/>
      <c r="J46" s="423"/>
      <c r="K46" s="423"/>
      <c r="L46" s="423"/>
      <c r="M46" s="423"/>
      <c r="N46" s="423"/>
      <c r="O46" s="423"/>
    </row>
    <row r="47" spans="1:15" ht="29.25" customHeight="1" hidden="1">
      <c r="A47" s="5"/>
      <c r="B47" s="423"/>
      <c r="C47" s="423"/>
      <c r="D47" s="423"/>
      <c r="E47" s="423"/>
      <c r="F47" s="423"/>
      <c r="G47" s="423"/>
      <c r="H47" s="423"/>
      <c r="I47" s="423"/>
      <c r="J47" s="423"/>
      <c r="K47" s="423"/>
      <c r="L47" s="423"/>
      <c r="M47" s="423"/>
      <c r="N47" s="423"/>
      <c r="O47" s="423"/>
    </row>
    <row r="48" spans="2:15" ht="15">
      <c r="B48" s="26"/>
      <c r="C48" s="15"/>
      <c r="D48" s="15"/>
      <c r="E48" s="15"/>
      <c r="F48" s="15"/>
      <c r="G48" s="15"/>
      <c r="H48" s="15"/>
      <c r="I48" s="15"/>
      <c r="J48" s="15"/>
      <c r="K48" s="15"/>
      <c r="L48" s="15"/>
      <c r="M48" s="15"/>
      <c r="N48" s="26"/>
      <c r="O48" s="26"/>
    </row>
    <row r="49" spans="2:15" ht="15">
      <c r="B49" s="26"/>
      <c r="C49" s="15"/>
      <c r="D49" s="15"/>
      <c r="E49" s="15"/>
      <c r="F49" s="15"/>
      <c r="G49" s="15"/>
      <c r="H49" s="15"/>
      <c r="I49" s="15"/>
      <c r="J49" s="15"/>
      <c r="K49" s="15"/>
      <c r="L49" s="15"/>
      <c r="M49" s="15"/>
      <c r="N49" s="26"/>
      <c r="O49" s="26"/>
    </row>
    <row r="50" spans="2:15" ht="15">
      <c r="B50" s="26"/>
      <c r="C50" s="15"/>
      <c r="D50" s="15"/>
      <c r="E50" s="15"/>
      <c r="F50" s="15"/>
      <c r="G50" s="15"/>
      <c r="H50" s="15"/>
      <c r="I50" s="15"/>
      <c r="J50" s="15"/>
      <c r="K50" s="15"/>
      <c r="L50" s="15"/>
      <c r="M50" s="15"/>
      <c r="N50" s="26"/>
      <c r="O50" s="26"/>
    </row>
    <row r="51" spans="2:15" ht="15">
      <c r="B51" s="416" t="s">
        <v>422</v>
      </c>
      <c r="C51" s="416"/>
      <c r="D51" s="416"/>
      <c r="E51" s="416"/>
      <c r="F51" s="416"/>
      <c r="G51" s="416"/>
      <c r="H51" s="416"/>
      <c r="I51" s="416"/>
      <c r="J51" s="416"/>
      <c r="K51" s="15"/>
      <c r="L51" s="15"/>
      <c r="M51" s="15"/>
      <c r="N51" s="26"/>
      <c r="O51" s="26"/>
    </row>
    <row r="52" spans="2:15" ht="15">
      <c r="B52" s="417" t="s">
        <v>436</v>
      </c>
      <c r="C52" s="417"/>
      <c r="D52" s="417"/>
      <c r="E52" s="417"/>
      <c r="F52" s="417"/>
      <c r="G52" s="417"/>
      <c r="H52" s="417"/>
      <c r="I52" s="417"/>
      <c r="J52" s="417"/>
      <c r="K52" s="15"/>
      <c r="L52" s="15"/>
      <c r="M52" s="15"/>
      <c r="N52" s="26"/>
      <c r="O52" s="26"/>
    </row>
    <row r="53" spans="2:15" ht="15">
      <c r="B53" s="418" t="s">
        <v>424</v>
      </c>
      <c r="C53" s="418"/>
      <c r="D53" s="418"/>
      <c r="E53" s="418"/>
      <c r="F53" s="418"/>
      <c r="G53" s="418"/>
      <c r="H53" s="418"/>
      <c r="I53" s="418"/>
      <c r="J53" s="418"/>
      <c r="K53" s="15"/>
      <c r="L53" s="15"/>
      <c r="M53" s="15"/>
      <c r="N53" s="26"/>
      <c r="O53" s="26"/>
    </row>
    <row r="54" spans="2:15" ht="15">
      <c r="B54" s="417" t="s">
        <v>433</v>
      </c>
      <c r="C54" s="417"/>
      <c r="D54" s="417"/>
      <c r="E54" s="417"/>
      <c r="F54" s="417"/>
      <c r="G54" s="417"/>
      <c r="H54" s="417"/>
      <c r="I54" s="417"/>
      <c r="J54" s="417"/>
      <c r="K54" s="15"/>
      <c r="L54" s="15"/>
      <c r="M54" s="15"/>
      <c r="N54" s="26"/>
      <c r="O54" s="26"/>
    </row>
    <row r="55" spans="2:15" ht="15">
      <c r="B55" s="26"/>
      <c r="C55" s="15"/>
      <c r="D55" s="15"/>
      <c r="E55" s="15"/>
      <c r="F55" s="15"/>
      <c r="G55" s="15"/>
      <c r="H55" s="15"/>
      <c r="I55" s="15"/>
      <c r="J55" s="15"/>
      <c r="K55" s="15"/>
      <c r="L55" s="15"/>
      <c r="M55" s="15"/>
      <c r="N55" s="26"/>
      <c r="O55" s="26"/>
    </row>
    <row r="56" spans="2:15" ht="18" customHeight="1" hidden="1">
      <c r="B56" s="445" t="s">
        <v>238</v>
      </c>
      <c r="C56" s="445"/>
      <c r="D56" s="445"/>
      <c r="E56" s="445"/>
      <c r="F56" s="445"/>
      <c r="G56" s="445"/>
      <c r="H56" s="445"/>
      <c r="I56" s="445"/>
      <c r="J56" s="445"/>
      <c r="K56" s="445"/>
      <c r="L56" s="445"/>
      <c r="M56" s="445"/>
      <c r="N56" s="445"/>
      <c r="O56" s="445"/>
    </row>
    <row r="57" spans="2:15" ht="17.25" hidden="1">
      <c r="B57" s="442" t="s">
        <v>5</v>
      </c>
      <c r="C57" s="442"/>
      <c r="D57" s="442"/>
      <c r="E57" s="442"/>
      <c r="F57" s="442"/>
      <c r="G57" s="442"/>
      <c r="H57" s="442"/>
      <c r="I57" s="442"/>
      <c r="J57" s="442"/>
      <c r="K57" s="442"/>
      <c r="L57" s="442"/>
      <c r="M57" s="442"/>
      <c r="N57" s="442"/>
      <c r="O57" s="442"/>
    </row>
    <row r="58" spans="2:24" s="26" customFormat="1" ht="18.75" customHeight="1" hidden="1">
      <c r="B58" s="444" t="s">
        <v>405</v>
      </c>
      <c r="C58" s="444"/>
      <c r="D58" s="444"/>
      <c r="E58" s="444"/>
      <c r="F58" s="444"/>
      <c r="G58" s="444"/>
      <c r="H58" s="444"/>
      <c r="I58" s="444"/>
      <c r="J58" s="444"/>
      <c r="K58" s="444"/>
      <c r="L58" s="444"/>
      <c r="M58" s="444"/>
      <c r="N58" s="444"/>
      <c r="O58" s="444"/>
      <c r="Q58"/>
      <c r="R58"/>
      <c r="S58"/>
      <c r="T58"/>
      <c r="U58"/>
      <c r="V58"/>
      <c r="W58"/>
      <c r="X58"/>
    </row>
    <row r="59" spans="2:15" ht="17.25" hidden="1">
      <c r="B59" s="300" t="s">
        <v>6</v>
      </c>
      <c r="C59" s="85"/>
      <c r="D59" s="85"/>
      <c r="E59" s="85"/>
      <c r="F59" s="86"/>
      <c r="G59" s="87"/>
      <c r="H59" s="75"/>
      <c r="I59" s="75"/>
      <c r="J59" s="75"/>
      <c r="K59" s="75"/>
      <c r="L59" s="75"/>
      <c r="M59" s="75"/>
      <c r="N59" s="69"/>
      <c r="O59" s="69"/>
    </row>
    <row r="60" spans="2:15" ht="17.25">
      <c r="B60" s="234" t="s">
        <v>244</v>
      </c>
      <c r="C60" s="437" t="s">
        <v>0</v>
      </c>
      <c r="D60" s="437"/>
      <c r="E60" s="437"/>
      <c r="F60" s="437"/>
      <c r="G60" s="437"/>
      <c r="H60" s="235" t="s">
        <v>427</v>
      </c>
      <c r="I60" s="235" t="s">
        <v>426</v>
      </c>
      <c r="J60" s="235" t="s">
        <v>425</v>
      </c>
      <c r="K60" s="309">
        <v>2024</v>
      </c>
      <c r="L60" s="309">
        <v>2025</v>
      </c>
      <c r="M60" s="309">
        <v>2026</v>
      </c>
      <c r="N60" s="310"/>
      <c r="O60" s="311" t="s">
        <v>208</v>
      </c>
    </row>
    <row r="61" spans="1:15" ht="2.25" customHeight="1">
      <c r="A61" s="4"/>
      <c r="B61" s="312"/>
      <c r="C61" s="25"/>
      <c r="D61" s="25"/>
      <c r="E61" s="25"/>
      <c r="F61" s="25"/>
      <c r="G61" s="25"/>
      <c r="H61" s="25"/>
      <c r="I61" s="25"/>
      <c r="J61" s="25"/>
      <c r="K61" s="25"/>
      <c r="L61" s="25"/>
      <c r="M61" s="25"/>
      <c r="N61" s="312"/>
      <c r="O61" s="278"/>
    </row>
    <row r="62" spans="1:15" ht="15">
      <c r="A62" s="5"/>
      <c r="B62" s="317"/>
      <c r="C62" s="317" t="s">
        <v>109</v>
      </c>
      <c r="D62" s="317"/>
      <c r="E62" s="317"/>
      <c r="F62" s="317"/>
      <c r="G62" s="317"/>
      <c r="H62" s="317"/>
      <c r="I62" s="317"/>
      <c r="J62" s="317"/>
      <c r="K62" s="317"/>
      <c r="L62" s="317"/>
      <c r="M62" s="317"/>
      <c r="N62" s="317"/>
      <c r="O62" s="317"/>
    </row>
    <row r="63" spans="1:15" ht="15" hidden="1">
      <c r="A63" s="5"/>
      <c r="B63" s="137">
        <v>1</v>
      </c>
      <c r="C63" s="125" t="s">
        <v>110</v>
      </c>
      <c r="D63" s="125"/>
      <c r="E63" s="125"/>
      <c r="F63" s="125"/>
      <c r="G63" s="125"/>
      <c r="H63" s="48">
        <v>0</v>
      </c>
      <c r="I63" s="48">
        <v>240000</v>
      </c>
      <c r="J63" s="48">
        <v>500000</v>
      </c>
      <c r="K63" s="48">
        <v>585000</v>
      </c>
      <c r="L63" s="48">
        <v>420000</v>
      </c>
      <c r="M63" s="48">
        <v>600000</v>
      </c>
      <c r="N63" s="71"/>
      <c r="O63" s="277" t="s">
        <v>209</v>
      </c>
    </row>
    <row r="64" spans="1:15" ht="15">
      <c r="A64" s="5"/>
      <c r="B64" s="143" t="s">
        <v>135</v>
      </c>
      <c r="C64" s="198" t="s">
        <v>110</v>
      </c>
      <c r="D64" s="198"/>
      <c r="E64" s="198"/>
      <c r="F64" s="198"/>
      <c r="G64" s="198"/>
      <c r="H64" s="322">
        <v>0</v>
      </c>
      <c r="I64" s="255">
        <f>I67+I69+I71+I73</f>
        <v>238440.00414222223</v>
      </c>
      <c r="J64" s="255">
        <f>J67+J69+J71+J73</f>
        <v>480587.7395364378</v>
      </c>
      <c r="K64" s="240">
        <f>K67+K69+K71+K73</f>
        <v>585000.0043739442</v>
      </c>
      <c r="L64" s="240">
        <f>L67+L69+L71+L73</f>
        <v>419999.99911096646</v>
      </c>
      <c r="M64" s="240">
        <f>M67+M69+M71+M73</f>
        <v>600000.0008971023</v>
      </c>
      <c r="N64" s="313"/>
      <c r="O64" s="279" t="s">
        <v>418</v>
      </c>
    </row>
    <row r="65" spans="1:15" ht="15">
      <c r="A65" s="5"/>
      <c r="B65" s="253"/>
      <c r="C65" s="246" t="s">
        <v>111</v>
      </c>
      <c r="D65" s="246"/>
      <c r="E65" s="246"/>
      <c r="F65" s="246"/>
      <c r="G65" s="246"/>
      <c r="H65" s="240"/>
      <c r="I65" s="240"/>
      <c r="J65" s="240"/>
      <c r="K65" s="48"/>
      <c r="L65" s="48"/>
      <c r="M65" s="48"/>
      <c r="N65" s="71"/>
      <c r="O65" s="276"/>
    </row>
    <row r="66" spans="1:15" ht="15" hidden="1">
      <c r="A66" s="5"/>
      <c r="B66" s="137">
        <v>2</v>
      </c>
      <c r="C66" s="125" t="s">
        <v>112</v>
      </c>
      <c r="D66" s="125"/>
      <c r="E66" s="125"/>
      <c r="F66" s="125"/>
      <c r="G66" s="125"/>
      <c r="H66" s="48">
        <v>0</v>
      </c>
      <c r="I66" s="48">
        <v>16184.256899620115</v>
      </c>
      <c r="J66" s="48">
        <v>25643.539447212162</v>
      </c>
      <c r="K66" s="48">
        <v>39719.03276599622</v>
      </c>
      <c r="L66" s="48">
        <v>28816.463865843412</v>
      </c>
      <c r="M66" s="48">
        <v>40770.56762358588</v>
      </c>
      <c r="N66" s="71"/>
      <c r="O66" s="277" t="s">
        <v>209</v>
      </c>
    </row>
    <row r="67" spans="1:15" ht="15">
      <c r="A67" s="5"/>
      <c r="B67" s="143" t="s">
        <v>136</v>
      </c>
      <c r="C67" s="126" t="s">
        <v>112</v>
      </c>
      <c r="D67" s="143"/>
      <c r="E67" s="198"/>
      <c r="F67" s="198"/>
      <c r="G67" s="198"/>
      <c r="H67" s="240">
        <f aca="true" t="shared" si="6" ref="H67:M67">ROUND(H66,2)</f>
        <v>0</v>
      </c>
      <c r="I67" s="240">
        <f t="shared" si="6"/>
        <v>16184.26</v>
      </c>
      <c r="J67" s="240">
        <f t="shared" si="6"/>
        <v>25643.54</v>
      </c>
      <c r="K67" s="240">
        <f t="shared" si="6"/>
        <v>39719.03</v>
      </c>
      <c r="L67" s="240">
        <f t="shared" si="6"/>
        <v>28816.46</v>
      </c>
      <c r="M67" s="240">
        <f t="shared" si="6"/>
        <v>40770.57</v>
      </c>
      <c r="N67" s="25"/>
      <c r="O67" s="279" t="s">
        <v>212</v>
      </c>
    </row>
    <row r="68" spans="1:15" ht="15" hidden="1">
      <c r="A68" s="5"/>
      <c r="B68" s="137">
        <v>3</v>
      </c>
      <c r="C68" s="125" t="s">
        <v>113</v>
      </c>
      <c r="D68" s="125"/>
      <c r="E68" s="125"/>
      <c r="F68" s="125"/>
      <c r="G68" s="125"/>
      <c r="H68" s="48">
        <v>0</v>
      </c>
      <c r="I68" s="48">
        <v>1560</v>
      </c>
      <c r="J68" s="48">
        <v>3250</v>
      </c>
      <c r="K68" s="48">
        <v>3802.5</v>
      </c>
      <c r="L68" s="48">
        <v>2730</v>
      </c>
      <c r="M68" s="48">
        <v>3900</v>
      </c>
      <c r="N68" s="71"/>
      <c r="O68" s="277" t="s">
        <v>209</v>
      </c>
    </row>
    <row r="69" spans="1:15" ht="15">
      <c r="A69" s="5"/>
      <c r="B69" s="143" t="s">
        <v>137</v>
      </c>
      <c r="C69" s="126" t="s">
        <v>113</v>
      </c>
      <c r="D69" s="143"/>
      <c r="E69" s="198"/>
      <c r="F69" s="198"/>
      <c r="G69" s="198"/>
      <c r="H69" s="240">
        <f aca="true" t="shared" si="7" ref="H69:M69">ROUND(H68,2)</f>
        <v>0</v>
      </c>
      <c r="I69" s="240">
        <v>0</v>
      </c>
      <c r="J69" s="240">
        <v>0</v>
      </c>
      <c r="K69" s="273">
        <f t="shared" si="7"/>
        <v>3802.5</v>
      </c>
      <c r="L69" s="273">
        <f t="shared" si="7"/>
        <v>2730</v>
      </c>
      <c r="M69" s="273">
        <f t="shared" si="7"/>
        <v>3900</v>
      </c>
      <c r="N69" s="72"/>
      <c r="O69" s="275" t="s">
        <v>153</v>
      </c>
    </row>
    <row r="70" spans="1:15" ht="15" hidden="1">
      <c r="A70" s="5"/>
      <c r="B70" s="137">
        <v>4</v>
      </c>
      <c r="C70" s="125" t="s">
        <v>256</v>
      </c>
      <c r="D70" s="125"/>
      <c r="E70" s="125"/>
      <c r="F70" s="125"/>
      <c r="G70" s="125"/>
      <c r="H70" s="48">
        <v>0</v>
      </c>
      <c r="I70" s="48">
        <v>0</v>
      </c>
      <c r="J70" s="48">
        <v>200000</v>
      </c>
      <c r="K70" s="48">
        <v>200000</v>
      </c>
      <c r="L70" s="48">
        <v>200000</v>
      </c>
      <c r="M70" s="48">
        <v>200000</v>
      </c>
      <c r="N70" s="71"/>
      <c r="O70" s="277" t="s">
        <v>209</v>
      </c>
    </row>
    <row r="71" spans="1:15" ht="15">
      <c r="A71" s="5"/>
      <c r="B71" s="143" t="s">
        <v>138</v>
      </c>
      <c r="C71" s="126" t="s">
        <v>256</v>
      </c>
      <c r="D71" s="143"/>
      <c r="E71" s="198"/>
      <c r="F71" s="198"/>
      <c r="G71" s="198"/>
      <c r="H71" s="240">
        <f aca="true" t="shared" si="8" ref="H71:M71">ROUND(H70,2)</f>
        <v>0</v>
      </c>
      <c r="I71" s="240">
        <f t="shared" si="8"/>
        <v>0</v>
      </c>
      <c r="J71" s="240">
        <f t="shared" si="8"/>
        <v>200000</v>
      </c>
      <c r="K71" s="240">
        <f t="shared" si="8"/>
        <v>200000</v>
      </c>
      <c r="L71" s="240">
        <f t="shared" si="8"/>
        <v>200000</v>
      </c>
      <c r="M71" s="240">
        <f t="shared" si="8"/>
        <v>200000</v>
      </c>
      <c r="N71" s="25"/>
      <c r="O71" s="279" t="s">
        <v>212</v>
      </c>
    </row>
    <row r="72" spans="1:15" ht="15" hidden="1">
      <c r="A72" s="5"/>
      <c r="B72" s="137">
        <v>5</v>
      </c>
      <c r="C72" s="125" t="s">
        <v>114</v>
      </c>
      <c r="D72" s="125"/>
      <c r="E72" s="125"/>
      <c r="F72" s="125"/>
      <c r="G72" s="125"/>
      <c r="H72" s="48">
        <v>0</v>
      </c>
      <c r="I72" s="48">
        <v>222255.74310037988</v>
      </c>
      <c r="J72" s="48">
        <v>271106.4605527879</v>
      </c>
      <c r="K72" s="48">
        <v>341478.46723400377</v>
      </c>
      <c r="L72" s="48">
        <v>188453.53613415657</v>
      </c>
      <c r="M72" s="48">
        <v>355329.43237641413</v>
      </c>
      <c r="N72" s="71"/>
      <c r="O72" s="277" t="s">
        <v>209</v>
      </c>
    </row>
    <row r="73" spans="1:15" ht="15">
      <c r="A73" s="5"/>
      <c r="B73" s="143" t="s">
        <v>139</v>
      </c>
      <c r="C73" s="126" t="s">
        <v>114</v>
      </c>
      <c r="D73" s="126"/>
      <c r="E73" s="126"/>
      <c r="F73" s="126"/>
      <c r="G73" s="126"/>
      <c r="H73" s="323">
        <f aca="true" t="shared" si="9" ref="H73:M73">H100</f>
        <v>0</v>
      </c>
      <c r="I73" s="323">
        <f t="shared" si="9"/>
        <v>222255.74414222222</v>
      </c>
      <c r="J73" s="323">
        <f t="shared" si="9"/>
        <v>254944.19953643775</v>
      </c>
      <c r="K73" s="318">
        <f t="shared" si="9"/>
        <v>341478.4743739442</v>
      </c>
      <c r="L73" s="318">
        <f t="shared" si="9"/>
        <v>188453.5391109665</v>
      </c>
      <c r="M73" s="318">
        <f t="shared" si="9"/>
        <v>355329.4308971022</v>
      </c>
      <c r="N73" s="298"/>
      <c r="O73" s="279" t="s">
        <v>350</v>
      </c>
    </row>
    <row r="74" spans="2:15" ht="2.25" customHeight="1">
      <c r="B74" s="241"/>
      <c r="C74" s="241"/>
      <c r="D74" s="241"/>
      <c r="E74" s="241"/>
      <c r="F74" s="241"/>
      <c r="G74" s="241"/>
      <c r="H74" s="242"/>
      <c r="I74" s="242"/>
      <c r="J74" s="242"/>
      <c r="K74" s="9"/>
      <c r="L74" s="9"/>
      <c r="M74" s="9"/>
      <c r="N74" s="9"/>
      <c r="O74" s="9"/>
    </row>
    <row r="75" spans="1:15" ht="15" hidden="1">
      <c r="A75" s="5"/>
      <c r="B75" s="137">
        <v>6</v>
      </c>
      <c r="C75" s="125" t="s">
        <v>115</v>
      </c>
      <c r="D75" s="125"/>
      <c r="E75" s="125"/>
      <c r="F75" s="125"/>
      <c r="G75" s="125"/>
      <c r="H75" s="48">
        <f aca="true" t="shared" si="10" ref="H75:M76">ROUND(H66,2)+ROUND(H68,2)+ROUND(H70,2)+ROUND(H72,2)</f>
        <v>0</v>
      </c>
      <c r="I75" s="48">
        <f t="shared" si="10"/>
        <v>240000</v>
      </c>
      <c r="J75" s="48">
        <f t="shared" si="10"/>
        <v>500000</v>
      </c>
      <c r="K75" s="48">
        <f t="shared" si="10"/>
        <v>585000</v>
      </c>
      <c r="L75" s="48">
        <f t="shared" si="10"/>
        <v>420000</v>
      </c>
      <c r="M75" s="48">
        <f t="shared" si="10"/>
        <v>600000</v>
      </c>
      <c r="N75" s="172"/>
      <c r="O75" s="277" t="s">
        <v>351</v>
      </c>
    </row>
    <row r="76" spans="1:15" ht="15">
      <c r="A76" s="17"/>
      <c r="B76" s="143" t="s">
        <v>154</v>
      </c>
      <c r="C76" s="143" t="s">
        <v>177</v>
      </c>
      <c r="D76" s="143"/>
      <c r="E76" s="198"/>
      <c r="F76" s="198"/>
      <c r="G76" s="198"/>
      <c r="H76" s="324">
        <f t="shared" si="10"/>
        <v>0</v>
      </c>
      <c r="I76" s="324">
        <f t="shared" si="10"/>
        <v>238440</v>
      </c>
      <c r="J76" s="324">
        <f t="shared" si="10"/>
        <v>480587.74</v>
      </c>
      <c r="K76" s="272">
        <f t="shared" si="10"/>
        <v>585000</v>
      </c>
      <c r="L76" s="272">
        <f t="shared" si="10"/>
        <v>420000</v>
      </c>
      <c r="M76" s="272">
        <f t="shared" si="10"/>
        <v>600000</v>
      </c>
      <c r="N76" s="313"/>
      <c r="O76" s="264" t="s">
        <v>352</v>
      </c>
    </row>
    <row r="77" spans="1:15" ht="15">
      <c r="A77" s="5"/>
      <c r="B77" s="317"/>
      <c r="C77" s="317" t="s">
        <v>257</v>
      </c>
      <c r="D77" s="317"/>
      <c r="E77" s="317"/>
      <c r="F77" s="317"/>
      <c r="G77" s="317"/>
      <c r="H77" s="317"/>
      <c r="I77" s="317"/>
      <c r="J77" s="317"/>
      <c r="K77" s="317"/>
      <c r="L77" s="317"/>
      <c r="M77" s="317"/>
      <c r="N77" s="317"/>
      <c r="O77" s="317"/>
    </row>
    <row r="78" spans="1:15" ht="15" hidden="1">
      <c r="A78" s="5"/>
      <c r="B78" s="137">
        <v>7</v>
      </c>
      <c r="C78" s="125" t="s">
        <v>258</v>
      </c>
      <c r="D78" s="125"/>
      <c r="E78" s="125"/>
      <c r="F78" s="125"/>
      <c r="G78" s="125"/>
      <c r="H78" s="48">
        <v>0</v>
      </c>
      <c r="I78" s="48">
        <v>200000</v>
      </c>
      <c r="J78" s="48">
        <f>I88</f>
        <v>200000</v>
      </c>
      <c r="K78" s="48">
        <f>J88</f>
        <v>200000</v>
      </c>
      <c r="L78" s="48">
        <f>K88</f>
        <v>200000</v>
      </c>
      <c r="M78" s="48">
        <f>L88</f>
        <v>200000</v>
      </c>
      <c r="N78" s="71"/>
      <c r="O78" s="277" t="s">
        <v>209</v>
      </c>
    </row>
    <row r="79" spans="1:15" ht="15">
      <c r="A79" s="5"/>
      <c r="B79" s="143" t="s">
        <v>155</v>
      </c>
      <c r="C79" s="126" t="s">
        <v>258</v>
      </c>
      <c r="D79" s="143"/>
      <c r="E79" s="198"/>
      <c r="F79" s="198"/>
      <c r="G79" s="198"/>
      <c r="H79" s="322">
        <f aca="true" t="shared" si="11" ref="H79:M79">ROUND(H78,2)</f>
        <v>0</v>
      </c>
      <c r="I79" s="255">
        <f t="shared" si="11"/>
        <v>200000</v>
      </c>
      <c r="J79" s="255">
        <f t="shared" si="11"/>
        <v>200000</v>
      </c>
      <c r="K79" s="240">
        <f t="shared" si="11"/>
        <v>200000</v>
      </c>
      <c r="L79" s="240">
        <f t="shared" si="11"/>
        <v>200000</v>
      </c>
      <c r="M79" s="240">
        <f t="shared" si="11"/>
        <v>200000</v>
      </c>
      <c r="N79" s="25"/>
      <c r="O79" s="279" t="s">
        <v>212</v>
      </c>
    </row>
    <row r="80" spans="1:24" ht="15">
      <c r="A80" s="5"/>
      <c r="B80" s="143"/>
      <c r="C80" s="198" t="s">
        <v>111</v>
      </c>
      <c r="D80" s="198"/>
      <c r="E80" s="198"/>
      <c r="F80" s="198"/>
      <c r="G80" s="198"/>
      <c r="H80" s="240"/>
      <c r="I80" s="240"/>
      <c r="J80" s="240"/>
      <c r="K80" s="240"/>
      <c r="L80" s="240"/>
      <c r="M80" s="240"/>
      <c r="N80" s="25"/>
      <c r="O80" s="264"/>
      <c r="R80" s="3"/>
      <c r="S80" s="3"/>
      <c r="T80" s="3"/>
      <c r="U80" s="3"/>
      <c r="V80" s="3"/>
      <c r="W80" s="3"/>
      <c r="X80" s="3"/>
    </row>
    <row r="81" spans="1:15" ht="15" hidden="1">
      <c r="A81" s="5"/>
      <c r="B81" s="137">
        <v>8</v>
      </c>
      <c r="C81" s="125" t="s">
        <v>112</v>
      </c>
      <c r="D81" s="125"/>
      <c r="E81" s="125"/>
      <c r="F81" s="125"/>
      <c r="G81" s="125"/>
      <c r="H81" s="48">
        <v>0</v>
      </c>
      <c r="I81" s="48">
        <v>2000</v>
      </c>
      <c r="J81" s="48">
        <v>2000</v>
      </c>
      <c r="K81" s="48">
        <v>0</v>
      </c>
      <c r="L81" s="48">
        <v>0</v>
      </c>
      <c r="M81" s="48">
        <v>0</v>
      </c>
      <c r="N81" s="71"/>
      <c r="O81" s="277" t="s">
        <v>209</v>
      </c>
    </row>
    <row r="82" spans="1:15" ht="15">
      <c r="A82" s="5"/>
      <c r="B82" s="143" t="s">
        <v>156</v>
      </c>
      <c r="C82" s="40" t="s">
        <v>112</v>
      </c>
      <c r="D82" s="143"/>
      <c r="E82" s="198"/>
      <c r="F82" s="198"/>
      <c r="G82" s="198"/>
      <c r="H82" s="240">
        <f aca="true" t="shared" si="12" ref="H82:M82">ROUND(H81,2)</f>
        <v>0</v>
      </c>
      <c r="I82" s="240">
        <f t="shared" si="12"/>
        <v>2000</v>
      </c>
      <c r="J82" s="240">
        <f t="shared" si="12"/>
        <v>2000</v>
      </c>
      <c r="K82" s="240">
        <f t="shared" si="12"/>
        <v>0</v>
      </c>
      <c r="L82" s="240">
        <f t="shared" si="12"/>
        <v>0</v>
      </c>
      <c r="M82" s="240">
        <f t="shared" si="12"/>
        <v>0</v>
      </c>
      <c r="N82" s="25"/>
      <c r="O82" s="279" t="s">
        <v>212</v>
      </c>
    </row>
    <row r="83" spans="1:15" ht="15" hidden="1">
      <c r="A83" s="5"/>
      <c r="B83" s="137">
        <v>9</v>
      </c>
      <c r="C83" s="125" t="s">
        <v>376</v>
      </c>
      <c r="D83" s="125"/>
      <c r="E83" s="125"/>
      <c r="F83" s="125"/>
      <c r="G83" s="125"/>
      <c r="H83" s="48">
        <v>0</v>
      </c>
      <c r="I83" s="48">
        <v>250</v>
      </c>
      <c r="J83" s="48">
        <v>0</v>
      </c>
      <c r="K83" s="48">
        <v>0</v>
      </c>
      <c r="L83" s="48">
        <v>250</v>
      </c>
      <c r="M83" s="48">
        <v>0</v>
      </c>
      <c r="N83" s="71"/>
      <c r="O83" s="277" t="s">
        <v>209</v>
      </c>
    </row>
    <row r="84" spans="1:15" ht="15">
      <c r="A84" s="5"/>
      <c r="B84" s="143" t="s">
        <v>157</v>
      </c>
      <c r="C84" s="126" t="s">
        <v>376</v>
      </c>
      <c r="D84" s="143"/>
      <c r="E84" s="198"/>
      <c r="F84" s="198"/>
      <c r="G84" s="198"/>
      <c r="H84" s="258">
        <f aca="true" t="shared" si="13" ref="H84:M84">ROUND(H83,2)</f>
        <v>0</v>
      </c>
      <c r="I84" s="258">
        <f t="shared" si="13"/>
        <v>250</v>
      </c>
      <c r="J84" s="258">
        <f t="shared" si="13"/>
        <v>0</v>
      </c>
      <c r="K84" s="240">
        <f t="shared" si="13"/>
        <v>0</v>
      </c>
      <c r="L84" s="240">
        <f t="shared" si="13"/>
        <v>250</v>
      </c>
      <c r="M84" s="240">
        <f t="shared" si="13"/>
        <v>0</v>
      </c>
      <c r="N84" s="25"/>
      <c r="O84" s="279" t="s">
        <v>212</v>
      </c>
    </row>
    <row r="85" spans="1:15" ht="15" hidden="1">
      <c r="A85" s="5"/>
      <c r="B85" s="137">
        <v>10</v>
      </c>
      <c r="C85" s="125" t="s">
        <v>114</v>
      </c>
      <c r="D85" s="125"/>
      <c r="E85" s="125"/>
      <c r="F85" s="125"/>
      <c r="G85" s="125"/>
      <c r="H85" s="48">
        <v>0</v>
      </c>
      <c r="I85" s="48">
        <v>197750</v>
      </c>
      <c r="J85" s="48">
        <v>198000</v>
      </c>
      <c r="K85" s="48">
        <v>200000</v>
      </c>
      <c r="L85" s="48">
        <v>199750</v>
      </c>
      <c r="M85" s="48">
        <v>200000</v>
      </c>
      <c r="N85" s="71"/>
      <c r="O85" s="277" t="s">
        <v>209</v>
      </c>
    </row>
    <row r="86" spans="1:15" ht="15">
      <c r="A86" s="5"/>
      <c r="B86" s="143" t="s">
        <v>158</v>
      </c>
      <c r="C86" s="126" t="s">
        <v>114</v>
      </c>
      <c r="D86" s="143"/>
      <c r="E86" s="198"/>
      <c r="F86" s="198"/>
      <c r="G86" s="198"/>
      <c r="H86" s="255">
        <f aca="true" t="shared" si="14" ref="H86:M86">ROUND(H85,2)</f>
        <v>0</v>
      </c>
      <c r="I86" s="255">
        <f t="shared" si="14"/>
        <v>197750</v>
      </c>
      <c r="J86" s="255">
        <f t="shared" si="14"/>
        <v>198000</v>
      </c>
      <c r="K86" s="240">
        <f t="shared" si="14"/>
        <v>200000</v>
      </c>
      <c r="L86" s="240">
        <f t="shared" si="14"/>
        <v>199750</v>
      </c>
      <c r="M86" s="240">
        <f t="shared" si="14"/>
        <v>200000</v>
      </c>
      <c r="N86" s="25"/>
      <c r="O86" s="279" t="s">
        <v>212</v>
      </c>
    </row>
    <row r="87" spans="2:15" ht="2.25" customHeight="1">
      <c r="B87" s="241"/>
      <c r="C87" s="241"/>
      <c r="D87" s="241"/>
      <c r="E87" s="241"/>
      <c r="F87" s="241"/>
      <c r="G87" s="241"/>
      <c r="H87" s="242"/>
      <c r="I87" s="242"/>
      <c r="J87" s="242"/>
      <c r="K87" s="9"/>
      <c r="L87" s="9"/>
      <c r="M87" s="9"/>
      <c r="N87" s="9"/>
      <c r="O87" s="9"/>
    </row>
    <row r="88" spans="1:15" ht="15" hidden="1">
      <c r="A88" s="17"/>
      <c r="B88" s="137">
        <v>11</v>
      </c>
      <c r="C88" s="137" t="s">
        <v>115</v>
      </c>
      <c r="D88" s="137"/>
      <c r="E88" s="125"/>
      <c r="F88" s="125"/>
      <c r="G88" s="125"/>
      <c r="H88" s="48">
        <f aca="true" t="shared" si="15" ref="H88:M89">H81+H83+H85</f>
        <v>0</v>
      </c>
      <c r="I88" s="48">
        <f t="shared" si="15"/>
        <v>200000</v>
      </c>
      <c r="J88" s="48">
        <f t="shared" si="15"/>
        <v>200000</v>
      </c>
      <c r="K88" s="48">
        <f t="shared" si="15"/>
        <v>200000</v>
      </c>
      <c r="L88" s="48">
        <f t="shared" si="15"/>
        <v>200000</v>
      </c>
      <c r="M88" s="48">
        <f t="shared" si="15"/>
        <v>200000</v>
      </c>
      <c r="N88" s="314"/>
      <c r="O88" s="315" t="s">
        <v>360</v>
      </c>
    </row>
    <row r="89" spans="1:15" ht="15">
      <c r="A89" s="17"/>
      <c r="B89" s="143" t="s">
        <v>159</v>
      </c>
      <c r="C89" s="143" t="s">
        <v>115</v>
      </c>
      <c r="D89" s="143"/>
      <c r="E89" s="198"/>
      <c r="F89" s="198"/>
      <c r="G89" s="198"/>
      <c r="H89" s="324">
        <f t="shared" si="15"/>
        <v>0</v>
      </c>
      <c r="I89" s="324">
        <f t="shared" si="15"/>
        <v>200000</v>
      </c>
      <c r="J89" s="324">
        <f t="shared" si="15"/>
        <v>200000</v>
      </c>
      <c r="K89" s="272">
        <f t="shared" si="15"/>
        <v>200000</v>
      </c>
      <c r="L89" s="272">
        <f t="shared" si="15"/>
        <v>200000</v>
      </c>
      <c r="M89" s="272">
        <f t="shared" si="15"/>
        <v>200000</v>
      </c>
      <c r="N89" s="313"/>
      <c r="O89" s="279" t="s">
        <v>361</v>
      </c>
    </row>
    <row r="90" spans="1:15" ht="15.75" customHeight="1" hidden="1">
      <c r="A90" s="17"/>
      <c r="B90" s="433" t="s">
        <v>397</v>
      </c>
      <c r="C90" s="433"/>
      <c r="D90" s="433"/>
      <c r="E90" s="433"/>
      <c r="F90" s="433"/>
      <c r="G90" s="433"/>
      <c r="H90" s="433"/>
      <c r="I90" s="433"/>
      <c r="J90" s="433"/>
      <c r="K90" s="433"/>
      <c r="L90" s="433"/>
      <c r="M90" s="433"/>
      <c r="N90" s="433"/>
      <c r="O90" s="433"/>
    </row>
    <row r="91" spans="1:15" ht="15" hidden="1">
      <c r="A91" s="17"/>
      <c r="B91" s="433"/>
      <c r="C91" s="433"/>
      <c r="D91" s="433"/>
      <c r="E91" s="433"/>
      <c r="F91" s="433"/>
      <c r="G91" s="433"/>
      <c r="H91" s="433"/>
      <c r="I91" s="433"/>
      <c r="J91" s="433"/>
      <c r="K91" s="433"/>
      <c r="L91" s="433"/>
      <c r="M91" s="433"/>
      <c r="N91" s="433"/>
      <c r="O91" s="433"/>
    </row>
    <row r="92" spans="1:15" ht="15" hidden="1">
      <c r="A92" s="17"/>
      <c r="B92" s="433"/>
      <c r="C92" s="433"/>
      <c r="D92" s="433"/>
      <c r="E92" s="433"/>
      <c r="F92" s="433"/>
      <c r="G92" s="433"/>
      <c r="H92" s="433"/>
      <c r="I92" s="433"/>
      <c r="J92" s="433"/>
      <c r="K92" s="433"/>
      <c r="L92" s="433"/>
      <c r="M92" s="433"/>
      <c r="N92" s="433"/>
      <c r="O92" s="433"/>
    </row>
    <row r="93" spans="1:15" ht="15" hidden="1">
      <c r="A93" s="17"/>
      <c r="B93" s="433"/>
      <c r="C93" s="433"/>
      <c r="D93" s="433"/>
      <c r="E93" s="433"/>
      <c r="F93" s="433"/>
      <c r="G93" s="433"/>
      <c r="H93" s="433"/>
      <c r="I93" s="433"/>
      <c r="J93" s="433"/>
      <c r="K93" s="433"/>
      <c r="L93" s="433"/>
      <c r="M93" s="433"/>
      <c r="N93" s="433"/>
      <c r="O93" s="433"/>
    </row>
    <row r="94" spans="1:15" ht="30" customHeight="1" hidden="1">
      <c r="A94" s="17"/>
      <c r="B94" s="433"/>
      <c r="C94" s="433"/>
      <c r="D94" s="433"/>
      <c r="E94" s="433"/>
      <c r="F94" s="433"/>
      <c r="G94" s="433"/>
      <c r="H94" s="433"/>
      <c r="I94" s="433"/>
      <c r="J94" s="433"/>
      <c r="K94" s="433"/>
      <c r="L94" s="433"/>
      <c r="M94" s="433"/>
      <c r="N94" s="433"/>
      <c r="O94" s="433"/>
    </row>
    <row r="95" spans="1:15" ht="15" hidden="1">
      <c r="A95" s="17"/>
      <c r="B95" s="447" t="s">
        <v>405</v>
      </c>
      <c r="C95" s="447"/>
      <c r="D95" s="447"/>
      <c r="E95" s="447"/>
      <c r="F95" s="447"/>
      <c r="G95" s="447"/>
      <c r="H95" s="447"/>
      <c r="I95" s="447"/>
      <c r="J95" s="447"/>
      <c r="K95" s="447"/>
      <c r="L95" s="447"/>
      <c r="M95" s="447"/>
      <c r="N95" s="447"/>
      <c r="O95" s="447"/>
    </row>
    <row r="96" spans="1:15" ht="15">
      <c r="A96" s="17"/>
      <c r="B96" s="319"/>
      <c r="C96" s="317" t="s">
        <v>116</v>
      </c>
      <c r="D96" s="317"/>
      <c r="E96" s="317"/>
      <c r="F96" s="317"/>
      <c r="G96" s="317"/>
      <c r="H96" s="317"/>
      <c r="I96" s="317"/>
      <c r="J96" s="317"/>
      <c r="K96" s="317"/>
      <c r="L96" s="317"/>
      <c r="M96" s="317"/>
      <c r="N96" s="317"/>
      <c r="O96" s="317"/>
    </row>
    <row r="97" spans="1:15" ht="15" hidden="1">
      <c r="A97" s="5"/>
      <c r="B97" s="137">
        <v>12</v>
      </c>
      <c r="C97" s="125" t="s">
        <v>117</v>
      </c>
      <c r="D97" s="125"/>
      <c r="E97" s="125"/>
      <c r="F97" s="125"/>
      <c r="G97" s="125"/>
      <c r="H97" s="48">
        <v>643908.4235299999</v>
      </c>
      <c r="I97" s="48">
        <f>H118</f>
        <v>377542.59577777784</v>
      </c>
      <c r="J97" s="48">
        <f>I118</f>
        <v>518045.3933333334</v>
      </c>
      <c r="K97" s="48">
        <f>J118</f>
        <v>620231.0166666667</v>
      </c>
      <c r="L97" s="48">
        <f>K118</f>
        <v>690000.50715</v>
      </c>
      <c r="M97" s="48">
        <f>L118</f>
        <v>601361.776487</v>
      </c>
      <c r="N97" s="71"/>
      <c r="O97" s="277" t="s">
        <v>416</v>
      </c>
    </row>
    <row r="98" spans="1:15" ht="15">
      <c r="A98" s="5"/>
      <c r="B98" s="143" t="s">
        <v>160</v>
      </c>
      <c r="C98" s="126" t="s">
        <v>117</v>
      </c>
      <c r="D98" s="143"/>
      <c r="E98" s="198"/>
      <c r="F98" s="198"/>
      <c r="G98" s="198"/>
      <c r="H98" s="322">
        <f>H97</f>
        <v>643908.4235299999</v>
      </c>
      <c r="I98" s="255">
        <f>H118</f>
        <v>377542.59577777784</v>
      </c>
      <c r="J98" s="255">
        <f>I118</f>
        <v>518045.3933333334</v>
      </c>
      <c r="K98" s="240">
        <f>J118</f>
        <v>620231.0166666667</v>
      </c>
      <c r="L98" s="240">
        <f>K118</f>
        <v>690000.50715</v>
      </c>
      <c r="M98" s="240">
        <f>L118</f>
        <v>601361.776487</v>
      </c>
      <c r="N98" s="25"/>
      <c r="O98" s="279" t="s">
        <v>417</v>
      </c>
    </row>
    <row r="99" spans="1:15" ht="15" hidden="1">
      <c r="A99" s="5"/>
      <c r="B99" s="137">
        <v>13</v>
      </c>
      <c r="C99" s="125" t="s">
        <v>118</v>
      </c>
      <c r="D99" s="125"/>
      <c r="E99" s="125"/>
      <c r="F99" s="125"/>
      <c r="G99" s="125"/>
      <c r="H99" s="48">
        <f aca="true" t="shared" si="16" ref="H99:M99">ROUND(H72,2)</f>
        <v>0</v>
      </c>
      <c r="I99" s="48">
        <f>ROUND(I72,2)</f>
        <v>222255.74</v>
      </c>
      <c r="J99" s="48">
        <f>ROUND(J72,2)</f>
        <v>271106.46</v>
      </c>
      <c r="K99" s="48">
        <f t="shared" si="16"/>
        <v>341478.47</v>
      </c>
      <c r="L99" s="48">
        <f t="shared" si="16"/>
        <v>188453.54</v>
      </c>
      <c r="M99" s="48">
        <f t="shared" si="16"/>
        <v>355329.43</v>
      </c>
      <c r="N99" s="71"/>
      <c r="O99" s="277" t="s">
        <v>209</v>
      </c>
    </row>
    <row r="100" spans="1:15" ht="15">
      <c r="A100" s="5"/>
      <c r="B100" s="143" t="s">
        <v>161</v>
      </c>
      <c r="C100" s="126" t="s">
        <v>118</v>
      </c>
      <c r="D100" s="143"/>
      <c r="E100" s="198"/>
      <c r="F100" s="198"/>
      <c r="G100" s="198"/>
      <c r="H100" s="272">
        <f>H99</f>
        <v>0</v>
      </c>
      <c r="I100" s="272">
        <f>I113-I110-I108-I106-I104-I102-I98</f>
        <v>222255.74414222222</v>
      </c>
      <c r="J100" s="272">
        <f>J113-J110-J108-J106-J104-J102-J98</f>
        <v>254944.19953643775</v>
      </c>
      <c r="K100" s="272">
        <f>K113-K110-K108-K106-K104-K102-K98</f>
        <v>341478.4743739442</v>
      </c>
      <c r="L100" s="272">
        <f>L113-L110-L108-L106-L104-L102-L98</f>
        <v>188453.5391109665</v>
      </c>
      <c r="M100" s="272">
        <f>M113-M110-M108-M106-M104-M102-M98</f>
        <v>355329.4308971022</v>
      </c>
      <c r="N100" s="25"/>
      <c r="O100" s="279" t="s">
        <v>181</v>
      </c>
    </row>
    <row r="101" spans="1:15" ht="15" hidden="1">
      <c r="A101" s="5"/>
      <c r="B101" s="137">
        <v>14</v>
      </c>
      <c r="C101" s="125" t="s">
        <v>259</v>
      </c>
      <c r="D101" s="125"/>
      <c r="E101" s="125"/>
      <c r="F101" s="125"/>
      <c r="G101" s="125"/>
      <c r="H101" s="48">
        <f aca="true" t="shared" si="17" ref="H101:M102">H85</f>
        <v>0</v>
      </c>
      <c r="I101" s="48">
        <f t="shared" si="17"/>
        <v>197750</v>
      </c>
      <c r="J101" s="48">
        <f t="shared" si="17"/>
        <v>198000</v>
      </c>
      <c r="K101" s="48">
        <f t="shared" si="17"/>
        <v>200000</v>
      </c>
      <c r="L101" s="48">
        <f t="shared" si="17"/>
        <v>199750</v>
      </c>
      <c r="M101" s="48">
        <f t="shared" si="17"/>
        <v>200000</v>
      </c>
      <c r="N101" s="71"/>
      <c r="O101" s="277" t="s">
        <v>363</v>
      </c>
    </row>
    <row r="102" spans="1:15" ht="15">
      <c r="A102" s="5"/>
      <c r="B102" s="143" t="s">
        <v>150</v>
      </c>
      <c r="C102" s="126" t="s">
        <v>259</v>
      </c>
      <c r="D102" s="143"/>
      <c r="E102" s="198"/>
      <c r="F102" s="198"/>
      <c r="G102" s="198"/>
      <c r="H102" s="210">
        <f t="shared" si="17"/>
        <v>0</v>
      </c>
      <c r="I102" s="210">
        <f t="shared" si="17"/>
        <v>197750</v>
      </c>
      <c r="J102" s="210">
        <f t="shared" si="17"/>
        <v>198000</v>
      </c>
      <c r="K102" s="318">
        <f t="shared" si="17"/>
        <v>200000</v>
      </c>
      <c r="L102" s="318">
        <f t="shared" si="17"/>
        <v>199750</v>
      </c>
      <c r="M102" s="318">
        <f t="shared" si="17"/>
        <v>200000</v>
      </c>
      <c r="N102" s="25"/>
      <c r="O102" s="279" t="s">
        <v>364</v>
      </c>
    </row>
    <row r="103" spans="1:15" ht="15" hidden="1">
      <c r="A103" s="5"/>
      <c r="B103" s="137">
        <v>15</v>
      </c>
      <c r="C103" s="125" t="s">
        <v>120</v>
      </c>
      <c r="D103" s="125"/>
      <c r="E103" s="125"/>
      <c r="F103" s="125"/>
      <c r="G103" s="125"/>
      <c r="H103" s="48">
        <v>14884</v>
      </c>
      <c r="I103" s="48">
        <v>23897</v>
      </c>
      <c r="J103" s="48">
        <v>10391</v>
      </c>
      <c r="K103" s="48">
        <v>8048</v>
      </c>
      <c r="L103" s="48">
        <v>6119</v>
      </c>
      <c r="M103" s="48">
        <v>2811</v>
      </c>
      <c r="N103" s="71"/>
      <c r="O103" s="277" t="s">
        <v>209</v>
      </c>
    </row>
    <row r="104" spans="1:15" ht="15">
      <c r="A104" s="5"/>
      <c r="B104" s="143" t="s">
        <v>146</v>
      </c>
      <c r="C104" s="320" t="s">
        <v>120</v>
      </c>
      <c r="D104" s="320"/>
      <c r="E104" s="320"/>
      <c r="F104" s="320"/>
      <c r="G104" s="320"/>
      <c r="H104" s="210">
        <f aca="true" t="shared" si="18" ref="H104:M104">H103</f>
        <v>14884</v>
      </c>
      <c r="I104" s="210">
        <f t="shared" si="18"/>
        <v>23897</v>
      </c>
      <c r="J104" s="210">
        <f t="shared" si="18"/>
        <v>10391</v>
      </c>
      <c r="K104" s="318">
        <f t="shared" si="18"/>
        <v>8048</v>
      </c>
      <c r="L104" s="318">
        <f t="shared" si="18"/>
        <v>6119</v>
      </c>
      <c r="M104" s="318">
        <f t="shared" si="18"/>
        <v>2811</v>
      </c>
      <c r="N104" s="25"/>
      <c r="O104" s="279" t="s">
        <v>212</v>
      </c>
    </row>
    <row r="105" spans="1:15" ht="15" hidden="1">
      <c r="A105" s="5"/>
      <c r="B105" s="137">
        <v>16</v>
      </c>
      <c r="C105" s="125" t="s">
        <v>119</v>
      </c>
      <c r="D105" s="125"/>
      <c r="E105" s="125"/>
      <c r="F105" s="125"/>
      <c r="G105" s="125"/>
      <c r="H105" s="48">
        <v>27832.76</v>
      </c>
      <c r="I105" s="48">
        <v>29447.060080000003</v>
      </c>
      <c r="J105" s="48">
        <v>31154.989564640004</v>
      </c>
      <c r="K105" s="48">
        <v>32961.978959389126</v>
      </c>
      <c r="L105" s="48">
        <v>34873.7737390337</v>
      </c>
      <c r="M105" s="48">
        <v>36896.45261589765</v>
      </c>
      <c r="N105" s="71"/>
      <c r="O105" s="277" t="s">
        <v>209</v>
      </c>
    </row>
    <row r="106" spans="1:18" ht="15">
      <c r="A106" s="5"/>
      <c r="B106" s="143" t="s">
        <v>145</v>
      </c>
      <c r="C106" s="126" t="s">
        <v>119</v>
      </c>
      <c r="D106" s="143"/>
      <c r="E106" s="198"/>
      <c r="F106" s="198"/>
      <c r="G106" s="198"/>
      <c r="H106" s="272">
        <f aca="true" t="shared" si="19" ref="H106:M106">H155</f>
        <v>27832.759999999995</v>
      </c>
      <c r="I106" s="272">
        <f t="shared" si="19"/>
        <v>29447.060080000003</v>
      </c>
      <c r="J106" s="272">
        <f t="shared" si="19"/>
        <v>29308.447130228982</v>
      </c>
      <c r="K106" s="272">
        <f t="shared" si="19"/>
        <v>32961.978959389126</v>
      </c>
      <c r="L106" s="272">
        <f t="shared" si="19"/>
        <v>34873.7737390337</v>
      </c>
      <c r="M106" s="272">
        <f t="shared" si="19"/>
        <v>36896.45261589765</v>
      </c>
      <c r="N106" s="279" t="s">
        <v>412</v>
      </c>
      <c r="O106" s="279"/>
      <c r="R106" s="240"/>
    </row>
    <row r="107" spans="1:15" ht="15" hidden="1">
      <c r="A107" s="5"/>
      <c r="B107" s="137">
        <v>17</v>
      </c>
      <c r="C107" s="125" t="s">
        <v>121</v>
      </c>
      <c r="D107" s="125"/>
      <c r="E107" s="125"/>
      <c r="F107" s="125"/>
      <c r="G107" s="125"/>
      <c r="H107" s="48">
        <v>10800</v>
      </c>
      <c r="I107" s="48">
        <v>8000</v>
      </c>
      <c r="J107" s="48">
        <v>12599.999999999998</v>
      </c>
      <c r="K107" s="48">
        <v>16300.000000000002</v>
      </c>
      <c r="L107" s="48">
        <v>21000</v>
      </c>
      <c r="M107" s="48">
        <v>26500</v>
      </c>
      <c r="N107" s="71"/>
      <c r="O107" s="277" t="s">
        <v>209</v>
      </c>
    </row>
    <row r="108" spans="1:15" ht="15">
      <c r="A108" s="5"/>
      <c r="B108" s="143" t="s">
        <v>162</v>
      </c>
      <c r="C108" s="320" t="s">
        <v>121</v>
      </c>
      <c r="D108" s="320"/>
      <c r="E108" s="320"/>
      <c r="F108" s="320"/>
      <c r="G108" s="320"/>
      <c r="H108" s="240">
        <f aca="true" t="shared" si="20" ref="H108:M108">H107</f>
        <v>10800</v>
      </c>
      <c r="I108" s="240">
        <f t="shared" si="20"/>
        <v>8000</v>
      </c>
      <c r="J108" s="240">
        <f t="shared" si="20"/>
        <v>12599.999999999998</v>
      </c>
      <c r="K108" s="240">
        <f t="shared" si="20"/>
        <v>16300.000000000002</v>
      </c>
      <c r="L108" s="240">
        <f t="shared" si="20"/>
        <v>21000</v>
      </c>
      <c r="M108" s="240">
        <f t="shared" si="20"/>
        <v>26500</v>
      </c>
      <c r="N108" s="25"/>
      <c r="O108" s="279" t="s">
        <v>212</v>
      </c>
    </row>
    <row r="109" spans="1:15" ht="15" hidden="1">
      <c r="A109" s="5"/>
      <c r="B109" s="137">
        <v>18</v>
      </c>
      <c r="C109" s="125" t="s">
        <v>122</v>
      </c>
      <c r="D109" s="125"/>
      <c r="E109" s="125"/>
      <c r="F109" s="125"/>
      <c r="G109" s="125"/>
      <c r="H109" s="48">
        <v>5081.845864188889</v>
      </c>
      <c r="I109" s="48">
        <v>4455.661634288232</v>
      </c>
      <c r="J109" s="48">
        <v>5663.066717120154</v>
      </c>
      <c r="K109" s="48">
        <v>6518.564784928794</v>
      </c>
      <c r="L109" s="48">
        <v>6424.687931295999</v>
      </c>
      <c r="M109" s="48">
        <v>6310.192714622135</v>
      </c>
      <c r="N109" s="71"/>
      <c r="O109" s="277" t="s">
        <v>209</v>
      </c>
    </row>
    <row r="110" spans="1:15" ht="15">
      <c r="A110" s="5"/>
      <c r="B110" s="143" t="s">
        <v>144</v>
      </c>
      <c r="C110" s="198" t="s">
        <v>122</v>
      </c>
      <c r="D110" s="198"/>
      <c r="E110" s="198"/>
      <c r="F110" s="198"/>
      <c r="G110" s="198"/>
      <c r="H110" s="258">
        <f aca="true" t="shared" si="21" ref="H110:M110">ROUND(H109,2)</f>
        <v>5081.85</v>
      </c>
      <c r="I110" s="258">
        <f t="shared" si="21"/>
        <v>4455.66</v>
      </c>
      <c r="J110" s="258">
        <f t="shared" si="21"/>
        <v>5663.07</v>
      </c>
      <c r="K110" s="240">
        <f t="shared" si="21"/>
        <v>6518.56</v>
      </c>
      <c r="L110" s="240">
        <f t="shared" si="21"/>
        <v>6424.69</v>
      </c>
      <c r="M110" s="240">
        <f t="shared" si="21"/>
        <v>6310.19</v>
      </c>
      <c r="N110" s="25"/>
      <c r="O110" s="279" t="s">
        <v>212</v>
      </c>
    </row>
    <row r="111" spans="2:15" ht="2.25" customHeight="1">
      <c r="B111" s="241"/>
      <c r="C111" s="241"/>
      <c r="D111" s="241"/>
      <c r="E111" s="241"/>
      <c r="F111" s="241"/>
      <c r="G111" s="241"/>
      <c r="H111" s="242"/>
      <c r="I111" s="242"/>
      <c r="J111" s="242"/>
      <c r="K111" s="9"/>
      <c r="L111" s="9"/>
      <c r="M111" s="9"/>
      <c r="N111" s="9"/>
      <c r="O111" s="9"/>
    </row>
    <row r="112" spans="1:15" ht="15" hidden="1">
      <c r="A112" s="5"/>
      <c r="B112" s="137">
        <v>19</v>
      </c>
      <c r="C112" s="125" t="s">
        <v>123</v>
      </c>
      <c r="D112" s="125"/>
      <c r="E112" s="125"/>
      <c r="F112" s="125"/>
      <c r="G112" s="125"/>
      <c r="H112" s="48">
        <f aca="true" t="shared" si="22" ref="H112:M112">ROUND(H97,2)+H99+H101+H103+H107+ROUND(H109,2)+ROUND(H105,2)</f>
        <v>702507.03</v>
      </c>
      <c r="I112" s="48">
        <f t="shared" si="22"/>
        <v>863348.06</v>
      </c>
      <c r="J112" s="48">
        <f t="shared" si="22"/>
        <v>1046960.91</v>
      </c>
      <c r="K112" s="48">
        <f t="shared" si="22"/>
        <v>1225538.03</v>
      </c>
      <c r="L112" s="48">
        <f t="shared" si="22"/>
        <v>1146621.51</v>
      </c>
      <c r="M112" s="48">
        <f t="shared" si="22"/>
        <v>1229208.8499999999</v>
      </c>
      <c r="N112" s="71"/>
      <c r="O112" s="277" t="s">
        <v>353</v>
      </c>
    </row>
    <row r="113" spans="1:16" ht="15">
      <c r="A113" s="5"/>
      <c r="B113" s="143" t="s">
        <v>140</v>
      </c>
      <c r="C113" s="198" t="s">
        <v>123</v>
      </c>
      <c r="D113" s="198"/>
      <c r="E113" s="198"/>
      <c r="F113" s="198"/>
      <c r="G113" s="198"/>
      <c r="H113" s="255">
        <f aca="true" t="shared" si="23" ref="H113:M113">H118+H115</f>
        <v>702507.03</v>
      </c>
      <c r="I113" s="255">
        <f t="shared" si="23"/>
        <v>863348.06</v>
      </c>
      <c r="J113" s="255">
        <f t="shared" si="23"/>
        <v>1028952.1100000001</v>
      </c>
      <c r="K113" s="240">
        <f t="shared" si="23"/>
        <v>1225538.03</v>
      </c>
      <c r="L113" s="240">
        <f t="shared" si="23"/>
        <v>1146621.51</v>
      </c>
      <c r="M113" s="240">
        <f t="shared" si="23"/>
        <v>1229208.8499999999</v>
      </c>
      <c r="N113" s="25"/>
      <c r="O113" s="279" t="s">
        <v>274</v>
      </c>
      <c r="P113" s="78"/>
    </row>
    <row r="114" spans="1:16" ht="15" hidden="1">
      <c r="A114" s="5"/>
      <c r="B114" s="137">
        <v>20</v>
      </c>
      <c r="C114" s="125" t="s">
        <v>108</v>
      </c>
      <c r="D114" s="125"/>
      <c r="E114" s="125"/>
      <c r="F114" s="125"/>
      <c r="G114" s="125"/>
      <c r="H114" s="48">
        <f aca="true" t="shared" si="24" ref="H114:M114">H33</f>
        <v>324964.4342222222</v>
      </c>
      <c r="I114" s="48">
        <f t="shared" si="24"/>
        <v>345302.6666666666</v>
      </c>
      <c r="J114" s="48">
        <f t="shared" si="24"/>
        <v>426729.8933333333</v>
      </c>
      <c r="K114" s="48">
        <f t="shared" si="24"/>
        <v>535537.5228500001</v>
      </c>
      <c r="L114" s="48">
        <f t="shared" si="24"/>
        <v>545259.733513</v>
      </c>
      <c r="M114" s="48">
        <f t="shared" si="24"/>
        <v>562221.8805498667</v>
      </c>
      <c r="N114" s="71"/>
      <c r="O114" s="277" t="s">
        <v>354</v>
      </c>
      <c r="P114" s="78"/>
    </row>
    <row r="115" spans="1:16" ht="15">
      <c r="A115" s="5"/>
      <c r="B115" s="143" t="s">
        <v>141</v>
      </c>
      <c r="C115" s="198" t="s">
        <v>108</v>
      </c>
      <c r="D115" s="198"/>
      <c r="E115" s="198"/>
      <c r="F115" s="198"/>
      <c r="G115" s="198"/>
      <c r="H115" s="325">
        <f aca="true" t="shared" si="25" ref="H115:M115">H35</f>
        <v>324964.4342222222</v>
      </c>
      <c r="I115" s="325">
        <f t="shared" si="25"/>
        <v>345302.6666666666</v>
      </c>
      <c r="J115" s="325">
        <f t="shared" si="25"/>
        <v>408721.0933333333</v>
      </c>
      <c r="K115" s="272">
        <f t="shared" si="25"/>
        <v>535537.5228500001</v>
      </c>
      <c r="L115" s="272">
        <f t="shared" si="25"/>
        <v>545259.733513</v>
      </c>
      <c r="M115" s="272">
        <f t="shared" si="25"/>
        <v>562221.8805498667</v>
      </c>
      <c r="N115" s="25"/>
      <c r="O115" s="277" t="s">
        <v>362</v>
      </c>
      <c r="P115" s="78"/>
    </row>
    <row r="116" spans="2:15" ht="2.25" customHeight="1">
      <c r="B116" s="241"/>
      <c r="C116" s="241"/>
      <c r="D116" s="241"/>
      <c r="E116" s="241"/>
      <c r="F116" s="241"/>
      <c r="G116" s="241"/>
      <c r="H116" s="326"/>
      <c r="I116" s="326"/>
      <c r="J116" s="326"/>
      <c r="K116" s="9"/>
      <c r="L116" s="9"/>
      <c r="M116" s="9"/>
      <c r="N116" s="9"/>
      <c r="O116" s="9"/>
    </row>
    <row r="117" spans="1:16" ht="15" hidden="1">
      <c r="A117" s="5"/>
      <c r="B117" s="137">
        <v>21</v>
      </c>
      <c r="C117" s="125" t="s">
        <v>124</v>
      </c>
      <c r="D117" s="125"/>
      <c r="E117" s="125"/>
      <c r="F117" s="125"/>
      <c r="G117" s="125"/>
      <c r="H117" s="327">
        <f aca="true" t="shared" si="26" ref="H117:M117">H112-H114</f>
        <v>377542.59577777784</v>
      </c>
      <c r="I117" s="327">
        <f t="shared" si="26"/>
        <v>518045.3933333334</v>
      </c>
      <c r="J117" s="327">
        <f t="shared" si="26"/>
        <v>620231.0166666667</v>
      </c>
      <c r="K117" s="48">
        <f t="shared" si="26"/>
        <v>690000.50715</v>
      </c>
      <c r="L117" s="48">
        <f t="shared" si="26"/>
        <v>601361.776487</v>
      </c>
      <c r="M117" s="48">
        <f t="shared" si="26"/>
        <v>666986.9694501332</v>
      </c>
      <c r="N117" s="71"/>
      <c r="O117" s="277" t="s">
        <v>242</v>
      </c>
      <c r="P117" s="78"/>
    </row>
    <row r="118" spans="1:15" ht="15">
      <c r="A118" s="5"/>
      <c r="B118" s="143" t="s">
        <v>142</v>
      </c>
      <c r="C118" s="198" t="s">
        <v>124</v>
      </c>
      <c r="D118" s="198"/>
      <c r="E118" s="198"/>
      <c r="F118" s="198"/>
      <c r="G118" s="198"/>
      <c r="H118" s="255">
        <f aca="true" t="shared" si="27" ref="H118:M118">H117</f>
        <v>377542.59577777784</v>
      </c>
      <c r="I118" s="255">
        <f t="shared" si="27"/>
        <v>518045.3933333334</v>
      </c>
      <c r="J118" s="255">
        <f>J117</f>
        <v>620231.0166666667</v>
      </c>
      <c r="K118" s="240">
        <f t="shared" si="27"/>
        <v>690000.50715</v>
      </c>
      <c r="L118" s="240">
        <f t="shared" si="27"/>
        <v>601361.776487</v>
      </c>
      <c r="M118" s="240">
        <f t="shared" si="27"/>
        <v>666986.9694501332</v>
      </c>
      <c r="N118" s="25"/>
      <c r="O118" s="279" t="s">
        <v>212</v>
      </c>
    </row>
    <row r="119" spans="1:15" ht="15">
      <c r="A119" s="5"/>
      <c r="B119" s="317"/>
      <c r="C119" s="317" t="s">
        <v>260</v>
      </c>
      <c r="D119" s="317"/>
      <c r="E119" s="317"/>
      <c r="F119" s="317"/>
      <c r="G119" s="317"/>
      <c r="H119" s="317"/>
      <c r="I119" s="317"/>
      <c r="J119" s="317"/>
      <c r="K119" s="317"/>
      <c r="L119" s="317"/>
      <c r="M119" s="317"/>
      <c r="N119" s="317"/>
      <c r="O119" s="317"/>
    </row>
    <row r="120" spans="1:17" ht="15">
      <c r="A120" s="5"/>
      <c r="B120" s="253">
        <v>22</v>
      </c>
      <c r="C120" s="246" t="s">
        <v>117</v>
      </c>
      <c r="D120" s="246"/>
      <c r="E120" s="246"/>
      <c r="F120" s="246"/>
      <c r="G120" s="246"/>
      <c r="H120" s="255">
        <v>327821</v>
      </c>
      <c r="I120" s="255">
        <f>H124</f>
        <v>234373.14577777789</v>
      </c>
      <c r="J120" s="255">
        <f>I124</f>
        <v>512699.97911111126</v>
      </c>
      <c r="K120" s="48">
        <f>J124</f>
        <v>615212.995777778</v>
      </c>
      <c r="L120" s="48">
        <f>K124</f>
        <v>684647.3429277779</v>
      </c>
      <c r="M120" s="48">
        <f>L124</f>
        <v>597152.9594147778</v>
      </c>
      <c r="N120" s="71"/>
      <c r="O120" s="277" t="s">
        <v>209</v>
      </c>
      <c r="Q120" s="94"/>
    </row>
    <row r="121" spans="1:17" ht="15">
      <c r="A121" s="5"/>
      <c r="B121" s="253">
        <v>23</v>
      </c>
      <c r="C121" s="246" t="s">
        <v>261</v>
      </c>
      <c r="D121" s="246"/>
      <c r="E121" s="246"/>
      <c r="F121" s="246"/>
      <c r="G121" s="246"/>
      <c r="H121" s="240">
        <f aca="true" t="shared" si="28" ref="H121:M121">H32</f>
        <v>231516.58000000002</v>
      </c>
      <c r="I121" s="240">
        <f t="shared" si="28"/>
        <v>623629.5</v>
      </c>
      <c r="J121" s="240">
        <f t="shared" si="28"/>
        <v>529242.91</v>
      </c>
      <c r="K121" s="48">
        <f t="shared" si="28"/>
        <v>604971.8700000001</v>
      </c>
      <c r="L121" s="48">
        <f t="shared" si="28"/>
        <v>457765.35</v>
      </c>
      <c r="M121" s="48">
        <f t="shared" si="28"/>
        <v>626071.07</v>
      </c>
      <c r="N121" s="71"/>
      <c r="O121" s="277" t="s">
        <v>209</v>
      </c>
      <c r="Q121" s="94"/>
    </row>
    <row r="122" spans="1:17" ht="15">
      <c r="A122" s="5"/>
      <c r="B122" s="253">
        <v>24</v>
      </c>
      <c r="C122" s="246" t="s">
        <v>262</v>
      </c>
      <c r="D122" s="246"/>
      <c r="E122" s="246"/>
      <c r="F122" s="246"/>
      <c r="G122" s="246"/>
      <c r="H122" s="325">
        <f aca="true" t="shared" si="29" ref="H122:M122">-H33</f>
        <v>-324964.4342222222</v>
      </c>
      <c r="I122" s="325">
        <f t="shared" si="29"/>
        <v>-345302.6666666666</v>
      </c>
      <c r="J122" s="325">
        <f t="shared" si="29"/>
        <v>-426729.8933333333</v>
      </c>
      <c r="K122" s="48">
        <f t="shared" si="29"/>
        <v>-535537.5228500001</v>
      </c>
      <c r="L122" s="48">
        <f t="shared" si="29"/>
        <v>-545259.733513</v>
      </c>
      <c r="M122" s="48">
        <f t="shared" si="29"/>
        <v>-562221.8805498667</v>
      </c>
      <c r="N122" s="71"/>
      <c r="O122" s="277" t="s">
        <v>209</v>
      </c>
      <c r="Q122" s="94"/>
    </row>
    <row r="123" spans="2:17" ht="2.25" customHeight="1">
      <c r="B123" s="241"/>
      <c r="C123" s="241"/>
      <c r="D123" s="241"/>
      <c r="E123" s="241"/>
      <c r="F123" s="241"/>
      <c r="G123" s="241"/>
      <c r="H123" s="326"/>
      <c r="I123" s="326"/>
      <c r="J123" s="326"/>
      <c r="K123" s="9"/>
      <c r="L123" s="9"/>
      <c r="M123" s="9"/>
      <c r="N123" s="9"/>
      <c r="O123" s="9"/>
      <c r="Q123" s="94"/>
    </row>
    <row r="124" spans="1:17" ht="15">
      <c r="A124" s="5"/>
      <c r="B124" s="253">
        <v>25</v>
      </c>
      <c r="C124" s="246" t="s">
        <v>124</v>
      </c>
      <c r="D124" s="246"/>
      <c r="E124" s="246"/>
      <c r="F124" s="246"/>
      <c r="G124" s="246"/>
      <c r="H124" s="255">
        <f aca="true" t="shared" si="30" ref="H124:M124">SUM(H120:H122)</f>
        <v>234373.14577777789</v>
      </c>
      <c r="I124" s="255">
        <f t="shared" si="30"/>
        <v>512699.97911111126</v>
      </c>
      <c r="J124" s="255">
        <f t="shared" si="30"/>
        <v>615212.995777778</v>
      </c>
      <c r="K124" s="48">
        <f t="shared" si="30"/>
        <v>684647.3429277779</v>
      </c>
      <c r="L124" s="48">
        <f t="shared" si="30"/>
        <v>597152.9594147778</v>
      </c>
      <c r="M124" s="48">
        <f t="shared" si="30"/>
        <v>661002.1488649109</v>
      </c>
      <c r="N124" s="71"/>
      <c r="O124" s="277" t="s">
        <v>209</v>
      </c>
      <c r="Q124" s="94"/>
    </row>
    <row r="125" spans="1:17" ht="15">
      <c r="A125" s="5"/>
      <c r="B125" s="253">
        <v>26</v>
      </c>
      <c r="C125" s="246" t="s">
        <v>263</v>
      </c>
      <c r="D125" s="246"/>
      <c r="E125" s="246"/>
      <c r="F125" s="246"/>
      <c r="G125" s="246"/>
      <c r="H125" s="258">
        <v>0</v>
      </c>
      <c r="I125" s="258">
        <v>0</v>
      </c>
      <c r="J125" s="258">
        <v>0</v>
      </c>
      <c r="K125" s="48">
        <v>0</v>
      </c>
      <c r="L125" s="48">
        <v>0</v>
      </c>
      <c r="M125" s="48">
        <v>0</v>
      </c>
      <c r="N125" s="71"/>
      <c r="O125" s="277" t="s">
        <v>209</v>
      </c>
      <c r="Q125" s="94"/>
    </row>
    <row r="126" spans="1:17" ht="15">
      <c r="A126" s="5"/>
      <c r="B126" s="253">
        <v>27</v>
      </c>
      <c r="C126" s="246" t="s">
        <v>264</v>
      </c>
      <c r="D126" s="246"/>
      <c r="E126" s="246"/>
      <c r="F126" s="246"/>
      <c r="G126" s="246"/>
      <c r="H126" s="255">
        <v>234373.14277777786</v>
      </c>
      <c r="I126" s="255">
        <v>512699.9761111111</v>
      </c>
      <c r="J126" s="255">
        <v>615212.992777778</v>
      </c>
      <c r="K126" s="48">
        <v>684647.3449277778</v>
      </c>
      <c r="L126" s="48">
        <v>597152.9664147778</v>
      </c>
      <c r="M126" s="48">
        <v>661002.1558649112</v>
      </c>
      <c r="N126" s="71"/>
      <c r="O126" s="277" t="s">
        <v>209</v>
      </c>
      <c r="Q126" s="94"/>
    </row>
    <row r="127" spans="1:17" ht="15" hidden="1">
      <c r="A127" s="5"/>
      <c r="B127" s="137"/>
      <c r="C127" s="125"/>
      <c r="D127" s="125"/>
      <c r="E127" s="125"/>
      <c r="F127" s="125"/>
      <c r="G127" s="125"/>
      <c r="H127" s="48"/>
      <c r="I127" s="48"/>
      <c r="J127" s="48"/>
      <c r="K127" s="48"/>
      <c r="L127" s="48"/>
      <c r="M127" s="48"/>
      <c r="N127" s="71"/>
      <c r="O127" s="277"/>
      <c r="Q127" s="94"/>
    </row>
    <row r="128" spans="1:17" ht="15" hidden="1">
      <c r="A128" s="5"/>
      <c r="B128" s="433" t="s">
        <v>397</v>
      </c>
      <c r="C128" s="433"/>
      <c r="D128" s="433"/>
      <c r="E128" s="433"/>
      <c r="F128" s="433"/>
      <c r="G128" s="433"/>
      <c r="H128" s="433"/>
      <c r="I128" s="433"/>
      <c r="J128" s="433"/>
      <c r="K128" s="433"/>
      <c r="L128" s="433"/>
      <c r="M128" s="433"/>
      <c r="N128" s="433"/>
      <c r="O128" s="433"/>
      <c r="Q128" s="94"/>
    </row>
    <row r="129" spans="1:17" ht="15" hidden="1">
      <c r="A129" s="5"/>
      <c r="B129" s="433"/>
      <c r="C129" s="433"/>
      <c r="D129" s="433"/>
      <c r="E129" s="433"/>
      <c r="F129" s="433"/>
      <c r="G129" s="433"/>
      <c r="H129" s="433"/>
      <c r="I129" s="433"/>
      <c r="J129" s="433"/>
      <c r="K129" s="433"/>
      <c r="L129" s="433"/>
      <c r="M129" s="433"/>
      <c r="N129" s="433"/>
      <c r="O129" s="433"/>
      <c r="Q129" s="94"/>
    </row>
    <row r="130" spans="1:17" ht="15" hidden="1">
      <c r="A130" s="5"/>
      <c r="B130" s="433"/>
      <c r="C130" s="433"/>
      <c r="D130" s="433"/>
      <c r="E130" s="433"/>
      <c r="F130" s="433"/>
      <c r="G130" s="433"/>
      <c r="H130" s="433"/>
      <c r="I130" s="433"/>
      <c r="J130" s="433"/>
      <c r="K130" s="433"/>
      <c r="L130" s="433"/>
      <c r="M130" s="433"/>
      <c r="N130" s="433"/>
      <c r="O130" s="433"/>
      <c r="Q130" s="94"/>
    </row>
    <row r="131" spans="1:17" ht="15" hidden="1">
      <c r="A131" s="5"/>
      <c r="B131" s="433"/>
      <c r="C131" s="433"/>
      <c r="D131" s="433"/>
      <c r="E131" s="433"/>
      <c r="F131" s="433"/>
      <c r="G131" s="433"/>
      <c r="H131" s="433"/>
      <c r="I131" s="433"/>
      <c r="J131" s="433"/>
      <c r="K131" s="433"/>
      <c r="L131" s="433"/>
      <c r="M131" s="433"/>
      <c r="N131" s="433"/>
      <c r="O131" s="433"/>
      <c r="Q131" s="94"/>
    </row>
    <row r="132" spans="1:17" ht="33" customHeight="1" hidden="1">
      <c r="A132" s="5"/>
      <c r="B132" s="433"/>
      <c r="C132" s="433"/>
      <c r="D132" s="433"/>
      <c r="E132" s="433"/>
      <c r="F132" s="433"/>
      <c r="G132" s="433"/>
      <c r="H132" s="433"/>
      <c r="I132" s="433"/>
      <c r="J132" s="433"/>
      <c r="K132" s="433"/>
      <c r="L132" s="433"/>
      <c r="M132" s="433"/>
      <c r="N132" s="433"/>
      <c r="O132" s="433"/>
      <c r="Q132" s="94"/>
    </row>
    <row r="133" spans="1:17" ht="15" hidden="1">
      <c r="A133" s="5"/>
      <c r="B133" s="447" t="s">
        <v>405</v>
      </c>
      <c r="C133" s="447"/>
      <c r="D133" s="447"/>
      <c r="E133" s="447"/>
      <c r="F133" s="447"/>
      <c r="G133" s="447"/>
      <c r="H133" s="447"/>
      <c r="I133" s="447"/>
      <c r="J133" s="447"/>
      <c r="K133" s="447"/>
      <c r="L133" s="447"/>
      <c r="M133" s="447"/>
      <c r="N133" s="447"/>
      <c r="O133" s="447"/>
      <c r="Q133" s="94"/>
    </row>
    <row r="134" spans="1:15" ht="15">
      <c r="A134" s="5"/>
      <c r="B134" s="317"/>
      <c r="C134" s="317" t="s">
        <v>125</v>
      </c>
      <c r="D134" s="317"/>
      <c r="E134" s="317"/>
      <c r="F134" s="317"/>
      <c r="G134" s="317"/>
      <c r="H134" s="317"/>
      <c r="I134" s="317"/>
      <c r="J134" s="317"/>
      <c r="K134" s="317"/>
      <c r="L134" s="317"/>
      <c r="M134" s="317"/>
      <c r="N134" s="317"/>
      <c r="O134" s="317"/>
    </row>
    <row r="135" spans="1:15" ht="15" hidden="1">
      <c r="A135" s="5"/>
      <c r="B135" s="137">
        <v>28</v>
      </c>
      <c r="C135" s="125" t="s">
        <v>117</v>
      </c>
      <c r="D135" s="125"/>
      <c r="E135" s="125"/>
      <c r="F135" s="125"/>
      <c r="G135" s="125"/>
      <c r="H135" s="48">
        <v>195432.99946</v>
      </c>
      <c r="I135" s="48">
        <f aca="true" t="shared" si="31" ref="I135:M136">H142</f>
        <v>175625.14</v>
      </c>
      <c r="J135" s="48">
        <f t="shared" si="31"/>
        <v>191809.40000000002</v>
      </c>
      <c r="K135" s="48">
        <f t="shared" si="31"/>
        <v>217452.94</v>
      </c>
      <c r="L135" s="48">
        <f t="shared" si="31"/>
        <v>257171.97</v>
      </c>
      <c r="M135" s="48">
        <f t="shared" si="31"/>
        <v>285988.43</v>
      </c>
      <c r="N135" s="71"/>
      <c r="O135" s="277" t="s">
        <v>243</v>
      </c>
    </row>
    <row r="136" spans="1:15" ht="15">
      <c r="A136" s="17"/>
      <c r="B136" s="143" t="s">
        <v>176</v>
      </c>
      <c r="C136" s="126" t="s">
        <v>117</v>
      </c>
      <c r="D136" s="143"/>
      <c r="E136" s="198"/>
      <c r="F136" s="198"/>
      <c r="G136" s="198"/>
      <c r="H136" s="255">
        <f>ROUND(H135,2)</f>
        <v>195433</v>
      </c>
      <c r="I136" s="255">
        <f>H143</f>
        <v>175625.14</v>
      </c>
      <c r="J136" s="255">
        <f t="shared" si="31"/>
        <v>191809.40000000002</v>
      </c>
      <c r="K136" s="240">
        <f t="shared" si="31"/>
        <v>217452.94</v>
      </c>
      <c r="L136" s="240">
        <f t="shared" si="31"/>
        <v>257171.97</v>
      </c>
      <c r="M136" s="240">
        <f t="shared" si="31"/>
        <v>285988.43</v>
      </c>
      <c r="N136" s="25"/>
      <c r="O136" s="279" t="s">
        <v>243</v>
      </c>
    </row>
    <row r="137" spans="1:15" ht="15" hidden="1">
      <c r="A137" s="5"/>
      <c r="B137" s="137">
        <v>29</v>
      </c>
      <c r="C137" s="125" t="s">
        <v>118</v>
      </c>
      <c r="D137" s="125"/>
      <c r="E137" s="125"/>
      <c r="F137" s="125"/>
      <c r="G137" s="125"/>
      <c r="H137" s="48">
        <f aca="true" t="shared" si="32" ref="H137:M138">H66</f>
        <v>0</v>
      </c>
      <c r="I137" s="48">
        <f t="shared" si="32"/>
        <v>16184.256899620115</v>
      </c>
      <c r="J137" s="48">
        <f t="shared" si="32"/>
        <v>25643.539447212162</v>
      </c>
      <c r="K137" s="48">
        <f t="shared" si="32"/>
        <v>39719.03276599622</v>
      </c>
      <c r="L137" s="48">
        <f t="shared" si="32"/>
        <v>28816.463865843412</v>
      </c>
      <c r="M137" s="48">
        <f t="shared" si="32"/>
        <v>40770.56762358588</v>
      </c>
      <c r="N137" s="71"/>
      <c r="O137" s="277" t="s">
        <v>365</v>
      </c>
    </row>
    <row r="138" spans="1:15" ht="15">
      <c r="A138" s="5"/>
      <c r="B138" s="143" t="s">
        <v>167</v>
      </c>
      <c r="C138" s="126" t="s">
        <v>118</v>
      </c>
      <c r="D138" s="143"/>
      <c r="E138" s="198"/>
      <c r="F138" s="198"/>
      <c r="G138" s="198"/>
      <c r="H138" s="272">
        <f t="shared" si="32"/>
        <v>0</v>
      </c>
      <c r="I138" s="272">
        <f t="shared" si="32"/>
        <v>16184.26</v>
      </c>
      <c r="J138" s="272">
        <f t="shared" si="32"/>
        <v>25643.54</v>
      </c>
      <c r="K138" s="272">
        <f t="shared" si="32"/>
        <v>39719.03</v>
      </c>
      <c r="L138" s="272">
        <f t="shared" si="32"/>
        <v>28816.46</v>
      </c>
      <c r="M138" s="272">
        <f t="shared" si="32"/>
        <v>40770.57</v>
      </c>
      <c r="N138" s="25"/>
      <c r="O138" s="279" t="s">
        <v>366</v>
      </c>
    </row>
    <row r="139" spans="1:15" ht="15" hidden="1">
      <c r="A139" s="5"/>
      <c r="B139" s="137">
        <v>30</v>
      </c>
      <c r="C139" s="125" t="s">
        <v>126</v>
      </c>
      <c r="D139" s="125"/>
      <c r="E139" s="125"/>
      <c r="F139" s="125"/>
      <c r="G139" s="125"/>
      <c r="H139" s="48">
        <v>-19807.86292625001</v>
      </c>
      <c r="I139" s="48">
        <v>0</v>
      </c>
      <c r="J139" s="48">
        <v>0</v>
      </c>
      <c r="K139" s="48">
        <v>0</v>
      </c>
      <c r="L139" s="48">
        <v>0</v>
      </c>
      <c r="M139" s="48">
        <v>0</v>
      </c>
      <c r="N139" s="71"/>
      <c r="O139" s="277" t="s">
        <v>209</v>
      </c>
    </row>
    <row r="140" spans="1:15" ht="15">
      <c r="A140" s="5"/>
      <c r="B140" s="143" t="s">
        <v>166</v>
      </c>
      <c r="C140" s="198" t="s">
        <v>126</v>
      </c>
      <c r="D140" s="198"/>
      <c r="E140" s="198"/>
      <c r="F140" s="198"/>
      <c r="G140" s="198"/>
      <c r="H140" s="258">
        <f aca="true" t="shared" si="33" ref="H140:M140">ROUND(H139,2)</f>
        <v>-19807.86</v>
      </c>
      <c r="I140" s="258">
        <f t="shared" si="33"/>
        <v>0</v>
      </c>
      <c r="J140" s="258">
        <f t="shared" si="33"/>
        <v>0</v>
      </c>
      <c r="K140" s="240">
        <f t="shared" si="33"/>
        <v>0</v>
      </c>
      <c r="L140" s="240">
        <f t="shared" si="33"/>
        <v>0</v>
      </c>
      <c r="M140" s="240">
        <f t="shared" si="33"/>
        <v>0</v>
      </c>
      <c r="N140" s="25"/>
      <c r="O140" s="279" t="s">
        <v>212</v>
      </c>
    </row>
    <row r="141" spans="2:15" ht="2.25" customHeight="1">
      <c r="B141" s="241"/>
      <c r="C141" s="241"/>
      <c r="D141" s="241"/>
      <c r="E141" s="241"/>
      <c r="F141" s="241"/>
      <c r="G141" s="241"/>
      <c r="H141" s="242"/>
      <c r="I141" s="242"/>
      <c r="J141" s="242"/>
      <c r="K141" s="9"/>
      <c r="L141" s="9"/>
      <c r="M141" s="9"/>
      <c r="N141" s="9"/>
      <c r="O141" s="9"/>
    </row>
    <row r="142" spans="1:15" ht="15" hidden="1">
      <c r="A142" s="5"/>
      <c r="B142" s="137">
        <v>31</v>
      </c>
      <c r="C142" s="125" t="s">
        <v>124</v>
      </c>
      <c r="D142" s="125"/>
      <c r="E142" s="125"/>
      <c r="F142" s="125"/>
      <c r="G142" s="125"/>
      <c r="H142" s="48">
        <f aca="true" t="shared" si="34" ref="H142:M142">ROUND(H135,2)+ROUND(H137,2)+ROUND(H139,2)</f>
        <v>175625.14</v>
      </c>
      <c r="I142" s="48">
        <f t="shared" si="34"/>
        <v>191809.40000000002</v>
      </c>
      <c r="J142" s="48">
        <f>ROUND(J135,2)+ROUND(J137,2)+ROUND(J139,2)</f>
        <v>217452.94</v>
      </c>
      <c r="K142" s="48">
        <f t="shared" si="34"/>
        <v>257171.97</v>
      </c>
      <c r="L142" s="48">
        <f t="shared" si="34"/>
        <v>285988.43</v>
      </c>
      <c r="M142" s="48">
        <f t="shared" si="34"/>
        <v>326759</v>
      </c>
      <c r="N142" s="71"/>
      <c r="O142" s="277" t="s">
        <v>275</v>
      </c>
    </row>
    <row r="143" spans="1:15" ht="15">
      <c r="A143" s="17"/>
      <c r="B143" s="143" t="s">
        <v>168</v>
      </c>
      <c r="C143" s="198" t="s">
        <v>124</v>
      </c>
      <c r="D143" s="198"/>
      <c r="E143" s="198"/>
      <c r="F143" s="198"/>
      <c r="G143" s="198"/>
      <c r="H143" s="255">
        <f aca="true" t="shared" si="35" ref="H143:M143">H142</f>
        <v>175625.14</v>
      </c>
      <c r="I143" s="255">
        <f t="shared" si="35"/>
        <v>191809.40000000002</v>
      </c>
      <c r="J143" s="255">
        <f t="shared" si="35"/>
        <v>217452.94</v>
      </c>
      <c r="K143" s="240">
        <f t="shared" si="35"/>
        <v>257171.97</v>
      </c>
      <c r="L143" s="240">
        <f t="shared" si="35"/>
        <v>285988.43</v>
      </c>
      <c r="M143" s="240">
        <f t="shared" si="35"/>
        <v>326759</v>
      </c>
      <c r="N143" s="25"/>
      <c r="O143" s="279" t="s">
        <v>212</v>
      </c>
    </row>
    <row r="144" spans="1:15" ht="15" hidden="1">
      <c r="A144" s="5"/>
      <c r="B144" s="137">
        <v>32</v>
      </c>
      <c r="C144" s="125" t="s">
        <v>127</v>
      </c>
      <c r="D144" s="125"/>
      <c r="E144" s="125"/>
      <c r="F144" s="125"/>
      <c r="G144" s="125"/>
      <c r="H144" s="48">
        <v>1855.2906799687496</v>
      </c>
      <c r="I144" s="48">
        <v>1847.1726498356004</v>
      </c>
      <c r="J144" s="48">
        <v>2076.3116315697616</v>
      </c>
      <c r="K144" s="48">
        <v>2413.1244926358036</v>
      </c>
      <c r="L144" s="48">
        <v>2755.8019757950015</v>
      </c>
      <c r="M144" s="48">
        <v>3103.737133242148</v>
      </c>
      <c r="N144" s="71"/>
      <c r="O144" s="277" t="s">
        <v>209</v>
      </c>
    </row>
    <row r="145" spans="1:15" ht="15">
      <c r="A145" s="5"/>
      <c r="B145" s="143" t="s">
        <v>169</v>
      </c>
      <c r="C145" s="198" t="s">
        <v>127</v>
      </c>
      <c r="D145" s="198"/>
      <c r="E145" s="198"/>
      <c r="F145" s="198"/>
      <c r="G145" s="198"/>
      <c r="H145" s="255">
        <f aca="true" t="shared" si="36" ref="H145:M145">ROUND(H144,2)</f>
        <v>1855.29</v>
      </c>
      <c r="I145" s="255">
        <f t="shared" si="36"/>
        <v>1847.17</v>
      </c>
      <c r="J145" s="255">
        <f t="shared" si="36"/>
        <v>2076.31</v>
      </c>
      <c r="K145" s="240">
        <f t="shared" si="36"/>
        <v>2413.12</v>
      </c>
      <c r="L145" s="240">
        <f t="shared" si="36"/>
        <v>2755.8</v>
      </c>
      <c r="M145" s="240">
        <f t="shared" si="36"/>
        <v>3103.74</v>
      </c>
      <c r="N145" s="25"/>
      <c r="O145" s="279" t="s">
        <v>212</v>
      </c>
    </row>
    <row r="146" spans="2:15" ht="2.25" customHeight="1">
      <c r="B146" s="27"/>
      <c r="C146" s="28"/>
      <c r="D146" s="28"/>
      <c r="E146" s="28"/>
      <c r="F146" s="28"/>
      <c r="G146" s="28"/>
      <c r="H146" s="29"/>
      <c r="I146" s="29"/>
      <c r="J146" s="29"/>
      <c r="K146" s="29"/>
      <c r="L146" s="29"/>
      <c r="M146" s="29"/>
      <c r="N146" s="29"/>
      <c r="O146" s="29"/>
    </row>
    <row r="147" spans="2:15" ht="2.25" customHeight="1">
      <c r="B147" s="27"/>
      <c r="C147" s="28"/>
      <c r="D147" s="28"/>
      <c r="E147" s="28"/>
      <c r="F147" s="28"/>
      <c r="G147" s="28"/>
      <c r="H147" s="29"/>
      <c r="I147" s="29"/>
      <c r="J147" s="29"/>
      <c r="K147" s="29"/>
      <c r="L147" s="29"/>
      <c r="M147" s="29"/>
      <c r="N147" s="29"/>
      <c r="O147" s="29"/>
    </row>
    <row r="148" spans="1:24" s="35" customFormat="1" ht="14.25" customHeight="1">
      <c r="A148" s="95"/>
      <c r="B148" s="38"/>
      <c r="C148" s="39"/>
      <c r="D148" s="39"/>
      <c r="E148" s="39"/>
      <c r="F148" s="39"/>
      <c r="G148" s="39"/>
      <c r="H148" s="36"/>
      <c r="I148" s="36"/>
      <c r="J148" s="36"/>
      <c r="K148" s="36"/>
      <c r="L148" s="36"/>
      <c r="M148" s="36"/>
      <c r="Q148"/>
      <c r="R148"/>
      <c r="S148"/>
      <c r="T148"/>
      <c r="U148"/>
      <c r="V148"/>
      <c r="W148"/>
      <c r="X148"/>
    </row>
    <row r="149" spans="2:24" s="35" customFormat="1" ht="14.25" customHeight="1" thickBot="1">
      <c r="B149" s="62" t="s">
        <v>202</v>
      </c>
      <c r="C149" s="39"/>
      <c r="D149" s="39"/>
      <c r="E149" s="39"/>
      <c r="F149" s="39"/>
      <c r="G149" s="39"/>
      <c r="H149" s="36"/>
      <c r="I149" s="36"/>
      <c r="J149" s="36"/>
      <c r="K149" s="36"/>
      <c r="L149" s="36"/>
      <c r="M149" s="36"/>
      <c r="Q149"/>
      <c r="R149"/>
      <c r="S149"/>
      <c r="T149"/>
      <c r="U149"/>
      <c r="V149"/>
      <c r="W149"/>
      <c r="X149"/>
    </row>
    <row r="150" spans="2:24" s="35" customFormat="1" ht="21" customHeight="1">
      <c r="B150" s="329"/>
      <c r="C150" s="330"/>
      <c r="D150" s="330"/>
      <c r="E150" s="330"/>
      <c r="F150" s="330"/>
      <c r="G150" s="330"/>
      <c r="H150" s="372" t="s">
        <v>427</v>
      </c>
      <c r="I150" s="372" t="s">
        <v>426</v>
      </c>
      <c r="J150" s="373" t="s">
        <v>425</v>
      </c>
      <c r="K150" s="63">
        <v>2024</v>
      </c>
      <c r="L150" s="63">
        <v>2025</v>
      </c>
      <c r="M150" s="64">
        <v>2026</v>
      </c>
      <c r="Q150"/>
      <c r="R150"/>
      <c r="S150"/>
      <c r="T150"/>
      <c r="U150"/>
      <c r="V150"/>
      <c r="W150"/>
      <c r="X150"/>
    </row>
    <row r="151" spans="2:24" s="35" customFormat="1" ht="14.25" customHeight="1">
      <c r="B151" s="331" t="s">
        <v>196</v>
      </c>
      <c r="C151" s="246" t="s">
        <v>108</v>
      </c>
      <c r="D151" s="246"/>
      <c r="E151" s="246"/>
      <c r="F151" s="246"/>
      <c r="G151" s="246"/>
      <c r="H151" s="266">
        <f aca="true" t="shared" si="37" ref="H151:M151">H115</f>
        <v>324964.4342222222</v>
      </c>
      <c r="I151" s="266">
        <f t="shared" si="37"/>
        <v>345302.6666666666</v>
      </c>
      <c r="J151" s="374">
        <f t="shared" si="37"/>
        <v>408721.0933333333</v>
      </c>
      <c r="K151" s="51">
        <f t="shared" si="37"/>
        <v>535537.5228500001</v>
      </c>
      <c r="L151" s="51">
        <f t="shared" si="37"/>
        <v>545259.733513</v>
      </c>
      <c r="M151" s="52">
        <f t="shared" si="37"/>
        <v>562221.8805498667</v>
      </c>
      <c r="O151" s="97" t="s">
        <v>356</v>
      </c>
      <c r="Q151"/>
      <c r="R151"/>
      <c r="S151"/>
      <c r="T151"/>
      <c r="U151"/>
      <c r="V151"/>
      <c r="W151"/>
      <c r="X151"/>
    </row>
    <row r="152" spans="2:24" s="35" customFormat="1" ht="14.25" customHeight="1">
      <c r="B152" s="331" t="s">
        <v>197</v>
      </c>
      <c r="C152" s="259" t="s">
        <v>387</v>
      </c>
      <c r="D152" s="246"/>
      <c r="E152" s="246"/>
      <c r="F152" s="246"/>
      <c r="G152" s="246"/>
      <c r="H152" s="334">
        <v>0.11888304051630938</v>
      </c>
      <c r="I152" s="334">
        <v>0.10844706309826743</v>
      </c>
      <c r="J152" s="375">
        <v>0.10253556230348616</v>
      </c>
      <c r="K152" s="61">
        <v>0.09198604552903948</v>
      </c>
      <c r="L152" s="61">
        <v>0.10247185021173322</v>
      </c>
      <c r="M152" s="108">
        <v>0.1127605573690842</v>
      </c>
      <c r="O152" s="76" t="s">
        <v>153</v>
      </c>
      <c r="P152" s="80"/>
      <c r="Q152"/>
      <c r="R152"/>
      <c r="S152"/>
      <c r="T152"/>
      <c r="U152"/>
      <c r="V152"/>
      <c r="W152"/>
      <c r="X152"/>
    </row>
    <row r="153" spans="2:24" s="35" customFormat="1" ht="14.25" customHeight="1">
      <c r="B153" s="331" t="s">
        <v>198</v>
      </c>
      <c r="C153" s="259" t="s">
        <v>193</v>
      </c>
      <c r="D153" s="246"/>
      <c r="E153" s="246"/>
      <c r="F153" s="246"/>
      <c r="G153" s="246"/>
      <c r="H153" s="266">
        <f aca="true" t="shared" si="38" ref="H153:M153">H152*H151</f>
        <v>38632.759999999995</v>
      </c>
      <c r="I153" s="266">
        <f t="shared" si="38"/>
        <v>37447.06008</v>
      </c>
      <c r="J153" s="374">
        <f>J152*J151</f>
        <v>41908.44713022898</v>
      </c>
      <c r="K153" s="56">
        <f t="shared" si="38"/>
        <v>49261.978959389126</v>
      </c>
      <c r="L153" s="56">
        <f t="shared" si="38"/>
        <v>55873.7737390337</v>
      </c>
      <c r="M153" s="57">
        <f t="shared" si="38"/>
        <v>63396.45261589765</v>
      </c>
      <c r="O153" s="45" t="s">
        <v>215</v>
      </c>
      <c r="Q153"/>
      <c r="R153"/>
      <c r="S153"/>
      <c r="T153"/>
      <c r="U153"/>
      <c r="V153"/>
      <c r="W153"/>
      <c r="X153"/>
    </row>
    <row r="154" spans="2:24" s="35" customFormat="1" ht="14.25" customHeight="1">
      <c r="B154" s="331" t="s">
        <v>199</v>
      </c>
      <c r="C154" s="259" t="s">
        <v>194</v>
      </c>
      <c r="D154" s="246"/>
      <c r="E154" s="246"/>
      <c r="F154" s="246"/>
      <c r="G154" s="246"/>
      <c r="H154" s="261">
        <f aca="true" t="shared" si="39" ref="H154:M154">-H108</f>
        <v>-10800</v>
      </c>
      <c r="I154" s="261">
        <f t="shared" si="39"/>
        <v>-8000</v>
      </c>
      <c r="J154" s="376">
        <f t="shared" si="39"/>
        <v>-12599.999999999998</v>
      </c>
      <c r="K154" s="51">
        <f t="shared" si="39"/>
        <v>-16300.000000000002</v>
      </c>
      <c r="L154" s="51">
        <f t="shared" si="39"/>
        <v>-21000</v>
      </c>
      <c r="M154" s="52">
        <f t="shared" si="39"/>
        <v>-26500</v>
      </c>
      <c r="O154" s="97" t="s">
        <v>355</v>
      </c>
      <c r="Q154"/>
      <c r="R154"/>
      <c r="S154"/>
      <c r="T154"/>
      <c r="U154"/>
      <c r="V154"/>
      <c r="W154"/>
      <c r="X154"/>
    </row>
    <row r="155" spans="2:24" s="35" customFormat="1" ht="14.25" customHeight="1" thickBot="1">
      <c r="B155" s="332" t="s">
        <v>200</v>
      </c>
      <c r="C155" s="328" t="s">
        <v>195</v>
      </c>
      <c r="D155" s="328"/>
      <c r="E155" s="328"/>
      <c r="F155" s="328"/>
      <c r="G155" s="328"/>
      <c r="H155" s="333">
        <f aca="true" t="shared" si="40" ref="H155:M155">H153+H154</f>
        <v>27832.759999999995</v>
      </c>
      <c r="I155" s="333">
        <f t="shared" si="40"/>
        <v>29447.060080000003</v>
      </c>
      <c r="J155" s="377">
        <f>J153+J154</f>
        <v>29308.447130228982</v>
      </c>
      <c r="K155" s="58">
        <f t="shared" si="40"/>
        <v>32961.978959389126</v>
      </c>
      <c r="L155" s="58">
        <f t="shared" si="40"/>
        <v>34873.7737390337</v>
      </c>
      <c r="M155" s="59">
        <f t="shared" si="40"/>
        <v>36896.45261589765</v>
      </c>
      <c r="O155" s="45" t="s">
        <v>201</v>
      </c>
      <c r="Q155"/>
      <c r="R155"/>
      <c r="S155"/>
      <c r="T155"/>
      <c r="U155"/>
      <c r="V155"/>
      <c r="W155"/>
      <c r="X155"/>
    </row>
    <row r="156" spans="2:24" s="35" customFormat="1" ht="14.25" customHeight="1" thickBot="1">
      <c r="B156" s="38"/>
      <c r="C156" s="39"/>
      <c r="D156" s="39"/>
      <c r="E156" s="39"/>
      <c r="F156" s="39"/>
      <c r="G156" s="39"/>
      <c r="H156" s="36"/>
      <c r="I156" s="36"/>
      <c r="J156" s="36"/>
      <c r="K156" s="36"/>
      <c r="L156" s="36"/>
      <c r="M156" s="36"/>
      <c r="Q156"/>
      <c r="R156"/>
      <c r="S156"/>
      <c r="T156"/>
      <c r="U156"/>
      <c r="V156"/>
      <c r="W156"/>
      <c r="X156"/>
    </row>
    <row r="157" spans="1:14" ht="15">
      <c r="A157" s="5"/>
      <c r="B157" s="98" t="s">
        <v>304</v>
      </c>
      <c r="D157" s="5"/>
      <c r="E157" s="5"/>
      <c r="F157" s="5"/>
      <c r="G157" s="6"/>
      <c r="H157" s="5"/>
      <c r="L157" s="103"/>
      <c r="M157" s="104" t="s">
        <v>153</v>
      </c>
      <c r="N157" s="5"/>
    </row>
    <row r="158" spans="1:14" ht="15.75" thickBot="1">
      <c r="A158" s="5"/>
      <c r="B158" s="98" t="s">
        <v>305</v>
      </c>
      <c r="D158" s="5"/>
      <c r="E158" s="5"/>
      <c r="F158" s="5"/>
      <c r="G158" s="6"/>
      <c r="H158" s="5"/>
      <c r="I158" s="5"/>
      <c r="J158" s="5"/>
      <c r="L158" s="101"/>
      <c r="M158" s="102" t="s">
        <v>216</v>
      </c>
      <c r="N158" s="5"/>
    </row>
    <row r="159" spans="1:14" ht="15">
      <c r="A159" s="5"/>
      <c r="B159" s="98" t="s">
        <v>306</v>
      </c>
      <c r="D159" s="5"/>
      <c r="E159" s="5"/>
      <c r="F159" s="5"/>
      <c r="G159" s="6"/>
      <c r="H159" s="5"/>
      <c r="I159" s="5"/>
      <c r="J159" s="5"/>
      <c r="K159" s="5"/>
      <c r="L159" s="5"/>
      <c r="M159" s="5"/>
      <c r="N159" s="5"/>
    </row>
    <row r="160" spans="1:14" ht="15">
      <c r="A160" s="5"/>
      <c r="B160" s="5"/>
      <c r="C160" s="98"/>
      <c r="D160" s="5"/>
      <c r="E160" s="5"/>
      <c r="F160" s="5"/>
      <c r="G160" s="6"/>
      <c r="H160" s="5"/>
      <c r="I160" s="5"/>
      <c r="J160" s="5"/>
      <c r="K160" s="5"/>
      <c r="L160" s="5"/>
      <c r="M160" s="5"/>
      <c r="N160" s="5"/>
    </row>
    <row r="161" spans="1:15" ht="15.75" customHeight="1" hidden="1">
      <c r="A161" s="5"/>
      <c r="B161" s="419" t="s">
        <v>401</v>
      </c>
      <c r="C161" s="420"/>
      <c r="D161" s="420"/>
      <c r="E161" s="420"/>
      <c r="F161" s="420"/>
      <c r="G161" s="420"/>
      <c r="H161" s="420"/>
      <c r="I161" s="420"/>
      <c r="J161" s="420"/>
      <c r="K161" s="420"/>
      <c r="L161" s="420"/>
      <c r="M161" s="420"/>
      <c r="N161" s="420"/>
      <c r="O161" s="421"/>
    </row>
    <row r="162" spans="1:15" ht="15" hidden="1">
      <c r="A162" s="5"/>
      <c r="B162" s="422"/>
      <c r="C162" s="423"/>
      <c r="D162" s="423"/>
      <c r="E162" s="423"/>
      <c r="F162" s="423"/>
      <c r="G162" s="423"/>
      <c r="H162" s="423"/>
      <c r="I162" s="423"/>
      <c r="J162" s="423"/>
      <c r="K162" s="423"/>
      <c r="L162" s="423"/>
      <c r="M162" s="423"/>
      <c r="N162" s="423"/>
      <c r="O162" s="424"/>
    </row>
    <row r="163" spans="1:15" ht="15" hidden="1">
      <c r="A163" s="5"/>
      <c r="B163" s="422"/>
      <c r="C163" s="423"/>
      <c r="D163" s="423"/>
      <c r="E163" s="423"/>
      <c r="F163" s="423"/>
      <c r="G163" s="423"/>
      <c r="H163" s="423"/>
      <c r="I163" s="423"/>
      <c r="J163" s="423"/>
      <c r="K163" s="423"/>
      <c r="L163" s="423"/>
      <c r="M163" s="423"/>
      <c r="N163" s="423"/>
      <c r="O163" s="424"/>
    </row>
    <row r="164" spans="1:15" ht="15" hidden="1">
      <c r="A164" s="5"/>
      <c r="B164" s="422"/>
      <c r="C164" s="423"/>
      <c r="D164" s="423"/>
      <c r="E164" s="423"/>
      <c r="F164" s="423"/>
      <c r="G164" s="423"/>
      <c r="H164" s="423"/>
      <c r="I164" s="423"/>
      <c r="J164" s="423"/>
      <c r="K164" s="423"/>
      <c r="L164" s="423"/>
      <c r="M164" s="423"/>
      <c r="N164" s="423"/>
      <c r="O164" s="424"/>
    </row>
    <row r="165" spans="1:15" ht="30" customHeight="1" hidden="1">
      <c r="A165" s="5"/>
      <c r="B165" s="425"/>
      <c r="C165" s="426"/>
      <c r="D165" s="426"/>
      <c r="E165" s="426"/>
      <c r="F165" s="426"/>
      <c r="G165" s="426"/>
      <c r="H165" s="426"/>
      <c r="I165" s="426"/>
      <c r="J165" s="426"/>
      <c r="K165" s="426"/>
      <c r="L165" s="426"/>
      <c r="M165" s="426"/>
      <c r="N165" s="426"/>
      <c r="O165" s="427"/>
    </row>
    <row r="169" spans="2:15" ht="15">
      <c r="B169" s="439" t="s">
        <v>422</v>
      </c>
      <c r="C169" s="439"/>
      <c r="D169" s="439"/>
      <c r="E169" s="439"/>
      <c r="F169" s="439"/>
      <c r="G169" s="439"/>
      <c r="H169" s="439"/>
      <c r="I169" s="439"/>
      <c r="J169" s="439"/>
      <c r="K169" s="26"/>
      <c r="L169" s="26"/>
      <c r="M169" s="26"/>
      <c r="N169" s="26"/>
      <c r="O169" s="26"/>
    </row>
    <row r="170" spans="2:15" ht="15">
      <c r="B170" s="436" t="s">
        <v>437</v>
      </c>
      <c r="C170" s="436"/>
      <c r="D170" s="436"/>
      <c r="E170" s="436"/>
      <c r="F170" s="436"/>
      <c r="G170" s="436"/>
      <c r="H170" s="436"/>
      <c r="I170" s="436"/>
      <c r="J170" s="436"/>
      <c r="K170" s="26"/>
      <c r="L170" s="26"/>
      <c r="M170" s="26"/>
      <c r="N170" s="26"/>
      <c r="O170" s="26"/>
    </row>
    <row r="171" spans="2:15" ht="15">
      <c r="B171" s="440" t="s">
        <v>424</v>
      </c>
      <c r="C171" s="440"/>
      <c r="D171" s="440"/>
      <c r="E171" s="440"/>
      <c r="F171" s="440"/>
      <c r="G171" s="440"/>
      <c r="H171" s="440"/>
      <c r="I171" s="440"/>
      <c r="J171" s="440"/>
      <c r="K171" s="26"/>
      <c r="L171" s="26"/>
      <c r="M171" s="26"/>
      <c r="N171" s="26"/>
      <c r="O171" s="26"/>
    </row>
    <row r="172" spans="2:15" ht="15">
      <c r="B172" s="436" t="s">
        <v>433</v>
      </c>
      <c r="C172" s="436"/>
      <c r="D172" s="436"/>
      <c r="E172" s="436"/>
      <c r="F172" s="436"/>
      <c r="G172" s="436"/>
      <c r="H172" s="436"/>
      <c r="I172" s="436"/>
      <c r="J172" s="436"/>
      <c r="K172" s="26"/>
      <c r="L172" s="26"/>
      <c r="M172" s="26"/>
      <c r="N172" s="26"/>
      <c r="O172" s="26"/>
    </row>
    <row r="173" spans="2:15" ht="17.25" hidden="1">
      <c r="B173" s="432" t="s">
        <v>4</v>
      </c>
      <c r="C173" s="432"/>
      <c r="D173" s="432"/>
      <c r="E173" s="432"/>
      <c r="F173" s="432"/>
      <c r="G173" s="432"/>
      <c r="H173" s="432"/>
      <c r="I173" s="432"/>
      <c r="J173" s="432"/>
      <c r="K173" s="432"/>
      <c r="L173" s="432"/>
      <c r="M173" s="432"/>
      <c r="N173" s="432"/>
      <c r="O173" s="432"/>
    </row>
    <row r="174" spans="2:15" ht="17.25" hidden="1">
      <c r="B174" s="442" t="s">
        <v>5</v>
      </c>
      <c r="C174" s="442"/>
      <c r="D174" s="442"/>
      <c r="E174" s="442"/>
      <c r="F174" s="442"/>
      <c r="G174" s="442"/>
      <c r="H174" s="442"/>
      <c r="I174" s="442"/>
      <c r="J174" s="442"/>
      <c r="K174" s="442"/>
      <c r="L174" s="442"/>
      <c r="M174" s="442"/>
      <c r="N174" s="442"/>
      <c r="O174" s="442"/>
    </row>
    <row r="175" spans="2:24" s="26" customFormat="1" ht="18.75" customHeight="1" hidden="1">
      <c r="B175" s="444" t="s">
        <v>405</v>
      </c>
      <c r="C175" s="444"/>
      <c r="D175" s="444"/>
      <c r="E175" s="444"/>
      <c r="F175" s="444"/>
      <c r="G175" s="444"/>
      <c r="H175" s="444"/>
      <c r="I175" s="444"/>
      <c r="J175" s="444"/>
      <c r="K175" s="444"/>
      <c r="L175" s="444"/>
      <c r="M175" s="444"/>
      <c r="N175" s="444"/>
      <c r="O175" s="444"/>
      <c r="Q175"/>
      <c r="R175"/>
      <c r="S175"/>
      <c r="T175"/>
      <c r="U175"/>
      <c r="V175"/>
      <c r="W175"/>
      <c r="X175"/>
    </row>
    <row r="176" spans="2:15" ht="17.25" hidden="1">
      <c r="B176" s="300" t="s">
        <v>6</v>
      </c>
      <c r="C176" s="85"/>
      <c r="D176" s="85"/>
      <c r="E176" s="85"/>
      <c r="F176" s="86"/>
      <c r="G176" s="87"/>
      <c r="H176" s="75"/>
      <c r="I176" s="75"/>
      <c r="J176" s="75"/>
      <c r="K176" s="75"/>
      <c r="L176" s="75"/>
      <c r="M176" s="75"/>
      <c r="N176" s="69"/>
      <c r="O176" s="69"/>
    </row>
    <row r="177" spans="2:15" ht="17.25">
      <c r="B177" s="234" t="s">
        <v>244</v>
      </c>
      <c r="C177" s="437" t="s">
        <v>0</v>
      </c>
      <c r="D177" s="437"/>
      <c r="E177" s="437"/>
      <c r="F177" s="437"/>
      <c r="G177" s="437"/>
      <c r="H177" s="235" t="s">
        <v>427</v>
      </c>
      <c r="I177" s="235" t="s">
        <v>426</v>
      </c>
      <c r="J177" s="235" t="s">
        <v>425</v>
      </c>
      <c r="K177" s="24">
        <v>2024</v>
      </c>
      <c r="L177" s="24">
        <v>2025</v>
      </c>
      <c r="M177" s="24">
        <v>2026</v>
      </c>
      <c r="N177" s="69"/>
      <c r="O177" s="136" t="s">
        <v>208</v>
      </c>
    </row>
    <row r="178" spans="1:15" ht="7.5" customHeight="1">
      <c r="A178" s="4"/>
      <c r="B178" s="70"/>
      <c r="C178" s="25"/>
      <c r="D178" s="25"/>
      <c r="E178" s="25"/>
      <c r="F178" s="25"/>
      <c r="G178" s="25"/>
      <c r="H178" s="25"/>
      <c r="I178" s="25"/>
      <c r="J178" s="25"/>
      <c r="K178" s="25"/>
      <c r="L178" s="25"/>
      <c r="M178" s="25"/>
      <c r="N178" s="70"/>
      <c r="O178" s="26"/>
    </row>
    <row r="179" spans="1:15" ht="15">
      <c r="A179" s="5"/>
      <c r="B179" s="14"/>
      <c r="C179" s="14" t="s">
        <v>128</v>
      </c>
      <c r="D179" s="14"/>
      <c r="E179" s="14"/>
      <c r="F179" s="14"/>
      <c r="G179" s="14"/>
      <c r="H179" s="14"/>
      <c r="I179" s="14"/>
      <c r="J179" s="14"/>
      <c r="K179" s="14"/>
      <c r="L179" s="14"/>
      <c r="M179" s="14"/>
      <c r="N179" s="14"/>
      <c r="O179" s="14"/>
    </row>
    <row r="180" spans="1:15" ht="15" hidden="1">
      <c r="A180" s="5"/>
      <c r="B180" s="137">
        <v>1</v>
      </c>
      <c r="C180" s="125" t="s">
        <v>129</v>
      </c>
      <c r="D180" s="125"/>
      <c r="E180" s="125"/>
      <c r="F180" s="125"/>
      <c r="G180" s="125"/>
      <c r="H180" s="48">
        <v>175726.33482</v>
      </c>
      <c r="I180" s="48">
        <v>163516.36108</v>
      </c>
      <c r="J180" s="48">
        <v>164558.06848</v>
      </c>
      <c r="K180" s="48">
        <v>151301.75678</v>
      </c>
      <c r="L180" s="48">
        <v>151437.89408</v>
      </c>
      <c r="M180" s="48">
        <v>152438.80338</v>
      </c>
      <c r="N180" s="71"/>
      <c r="O180" s="112" t="s">
        <v>209</v>
      </c>
    </row>
    <row r="181" spans="1:15" ht="15">
      <c r="A181" s="5"/>
      <c r="B181" s="143" t="s">
        <v>135</v>
      </c>
      <c r="C181" s="240" t="s">
        <v>129</v>
      </c>
      <c r="D181" s="205"/>
      <c r="E181" s="205"/>
      <c r="F181" s="205"/>
      <c r="G181" s="205"/>
      <c r="H181" s="255">
        <f aca="true" t="shared" si="41" ref="H181:M181">H180</f>
        <v>175726.33482</v>
      </c>
      <c r="I181" s="255">
        <f t="shared" si="41"/>
        <v>163516.36108</v>
      </c>
      <c r="J181" s="255">
        <f t="shared" si="41"/>
        <v>164558.06848</v>
      </c>
      <c r="K181" s="301">
        <f t="shared" si="41"/>
        <v>151301.75678</v>
      </c>
      <c r="L181" s="301">
        <f t="shared" si="41"/>
        <v>151437.89408</v>
      </c>
      <c r="M181" s="301">
        <f t="shared" si="41"/>
        <v>152438.80338</v>
      </c>
      <c r="N181" s="25"/>
      <c r="O181" s="114" t="s">
        <v>212</v>
      </c>
    </row>
    <row r="182" spans="1:15" ht="15">
      <c r="A182" s="5"/>
      <c r="B182" s="253"/>
      <c r="C182" s="438" t="s">
        <v>130</v>
      </c>
      <c r="D182" s="438"/>
      <c r="E182" s="336" t="s">
        <v>235</v>
      </c>
      <c r="F182" s="337"/>
      <c r="G182" s="336" t="s">
        <v>239</v>
      </c>
      <c r="H182" s="240"/>
      <c r="I182" s="240"/>
      <c r="J182" s="240"/>
      <c r="K182" s="48"/>
      <c r="L182" s="48"/>
      <c r="M182" s="48"/>
      <c r="N182" s="71"/>
      <c r="O182" s="139"/>
    </row>
    <row r="183" spans="1:15" ht="15" hidden="1">
      <c r="A183" s="5"/>
      <c r="B183" s="253"/>
      <c r="C183" s="240" t="s">
        <v>270</v>
      </c>
      <c r="D183" s="337"/>
      <c r="E183" s="338"/>
      <c r="F183" s="337"/>
      <c r="G183" s="337"/>
      <c r="H183" s="240"/>
      <c r="I183" s="339"/>
      <c r="J183" s="339"/>
      <c r="K183" s="340"/>
      <c r="L183" s="340"/>
      <c r="M183" s="340"/>
      <c r="N183" s="71"/>
      <c r="O183" s="112" t="s">
        <v>209</v>
      </c>
    </row>
    <row r="184" spans="1:15" ht="15">
      <c r="A184" s="5"/>
      <c r="B184" s="143"/>
      <c r="C184" s="240" t="s">
        <v>270</v>
      </c>
      <c r="D184" s="205"/>
      <c r="E184" s="190"/>
      <c r="F184" s="205"/>
      <c r="G184" s="205"/>
      <c r="H184" s="240"/>
      <c r="I184" s="339"/>
      <c r="J184" s="339"/>
      <c r="K184" s="341"/>
      <c r="L184" s="341"/>
      <c r="M184" s="341"/>
      <c r="N184" s="298"/>
      <c r="O184" s="114" t="s">
        <v>209</v>
      </c>
    </row>
    <row r="185" spans="1:15" ht="15" hidden="1">
      <c r="A185" s="5"/>
      <c r="B185" s="137">
        <v>2</v>
      </c>
      <c r="C185" s="48" t="s">
        <v>266</v>
      </c>
      <c r="D185" s="204"/>
      <c r="E185" s="342">
        <v>0.05</v>
      </c>
      <c r="F185" s="204"/>
      <c r="G185" s="204">
        <f>I63</f>
        <v>240000</v>
      </c>
      <c r="H185" s="48"/>
      <c r="I185" s="48">
        <v>10000</v>
      </c>
      <c r="J185" s="340">
        <v>15850.92356628677</v>
      </c>
      <c r="K185" s="340">
        <v>15850.92356628677</v>
      </c>
      <c r="L185" s="340">
        <v>15850.92356628677</v>
      </c>
      <c r="M185" s="340">
        <v>15850.92356628677</v>
      </c>
      <c r="N185" s="71"/>
      <c r="O185" s="112" t="s">
        <v>209</v>
      </c>
    </row>
    <row r="186" spans="1:15" ht="15">
      <c r="A186" s="5"/>
      <c r="B186" s="143" t="s">
        <v>136</v>
      </c>
      <c r="C186" s="240" t="s">
        <v>266</v>
      </c>
      <c r="D186" s="205"/>
      <c r="E186" s="338">
        <f>'[4]Sheet1'!$BG$42</f>
        <v>0.03</v>
      </c>
      <c r="F186" s="205"/>
      <c r="G186" s="305">
        <f>I64</f>
        <v>238440.00414222223</v>
      </c>
      <c r="H186" s="321"/>
      <c r="I186" s="324">
        <f>E186*G186*0.83333</f>
        <v>5960.976259555141</v>
      </c>
      <c r="J186" s="324">
        <f>-PMT($E186,29,$G186)</f>
        <v>12426.222394536018</v>
      </c>
      <c r="K186" s="343">
        <f>J186</f>
        <v>12426.222394536018</v>
      </c>
      <c r="L186" s="343">
        <f>K186</f>
        <v>12426.222394536018</v>
      </c>
      <c r="M186" s="343">
        <f>K186</f>
        <v>12426.222394536018</v>
      </c>
      <c r="N186" s="72"/>
      <c r="O186" s="113" t="s">
        <v>419</v>
      </c>
    </row>
    <row r="187" spans="1:15" ht="16.5" customHeight="1" hidden="1">
      <c r="A187" s="5"/>
      <c r="B187" s="137">
        <v>3</v>
      </c>
      <c r="C187" s="48" t="s">
        <v>267</v>
      </c>
      <c r="D187" s="204"/>
      <c r="E187" s="338">
        <v>0.0525</v>
      </c>
      <c r="F187" s="204"/>
      <c r="G187" s="344">
        <f>J63</f>
        <v>500000</v>
      </c>
      <c r="H187" s="48"/>
      <c r="I187" s="48"/>
      <c r="J187" s="48">
        <v>21875</v>
      </c>
      <c r="K187" s="340">
        <v>33947.89125298821</v>
      </c>
      <c r="L187" s="48">
        <v>33947.89125298821</v>
      </c>
      <c r="M187" s="340">
        <v>33947.89125298821</v>
      </c>
      <c r="N187" s="71"/>
      <c r="O187" s="112" t="s">
        <v>209</v>
      </c>
    </row>
    <row r="188" spans="1:15" ht="16.5" customHeight="1">
      <c r="A188" s="5"/>
      <c r="B188" s="143" t="s">
        <v>137</v>
      </c>
      <c r="C188" s="240" t="s">
        <v>267</v>
      </c>
      <c r="D188" s="205"/>
      <c r="E188" s="338">
        <f>E186</f>
        <v>0.03</v>
      </c>
      <c r="F188" s="240"/>
      <c r="G188" s="305">
        <f>J64</f>
        <v>480587.7395364378</v>
      </c>
      <c r="H188" s="240"/>
      <c r="I188" s="240">
        <v>0</v>
      </c>
      <c r="J188" s="272">
        <f>E188*G188*0.83333</f>
        <v>12014.64542963699</v>
      </c>
      <c r="K188" s="343">
        <f>-PMT($E188,29,$G188)</f>
        <v>25045.671983821452</v>
      </c>
      <c r="L188" s="343">
        <f>-PMT($E188,29,$G188)</f>
        <v>25045.671983821452</v>
      </c>
      <c r="M188" s="343">
        <f>L188</f>
        <v>25045.671983821452</v>
      </c>
      <c r="N188" s="72"/>
      <c r="O188" s="113" t="s">
        <v>419</v>
      </c>
    </row>
    <row r="189" spans="1:15" ht="15" customHeight="1" hidden="1">
      <c r="A189" s="5"/>
      <c r="B189" s="137">
        <v>4</v>
      </c>
      <c r="C189" s="48" t="s">
        <v>268</v>
      </c>
      <c r="D189" s="204"/>
      <c r="E189" s="338">
        <v>0.0525</v>
      </c>
      <c r="F189" s="204"/>
      <c r="G189" s="344">
        <f>K63</f>
        <v>585000</v>
      </c>
      <c r="H189" s="48"/>
      <c r="I189" s="48"/>
      <c r="J189" s="48"/>
      <c r="K189" s="48">
        <v>25593.75</v>
      </c>
      <c r="L189" s="48">
        <v>39719.0327659962</v>
      </c>
      <c r="M189" s="48">
        <v>39719.0327659962</v>
      </c>
      <c r="N189" s="71"/>
      <c r="O189" s="112" t="s">
        <v>209</v>
      </c>
    </row>
    <row r="190" spans="1:15" ht="15" customHeight="1">
      <c r="A190" s="5"/>
      <c r="B190" s="143" t="s">
        <v>138</v>
      </c>
      <c r="C190" s="240" t="s">
        <v>268</v>
      </c>
      <c r="D190" s="205"/>
      <c r="E190" s="338">
        <f>E188</f>
        <v>0.03</v>
      </c>
      <c r="F190" s="205"/>
      <c r="G190" s="305">
        <f>K64</f>
        <v>585000.0043739442</v>
      </c>
      <c r="H190" s="240"/>
      <c r="I190" s="240">
        <v>0</v>
      </c>
      <c r="J190" s="240">
        <v>0</v>
      </c>
      <c r="K190" s="270">
        <f>E190*G190*0.8333</f>
        <v>14624.415109344232</v>
      </c>
      <c r="L190" s="343">
        <f>-PMT($E190,29,$G190)</f>
        <v>30487.082825326717</v>
      </c>
      <c r="M190" s="343">
        <f>L190</f>
        <v>30487.082825326717</v>
      </c>
      <c r="N190" s="72"/>
      <c r="O190" s="113" t="s">
        <v>419</v>
      </c>
    </row>
    <row r="191" spans="1:15" ht="15" customHeight="1" hidden="1">
      <c r="A191" s="5"/>
      <c r="B191" s="137">
        <v>5</v>
      </c>
      <c r="C191" s="48" t="s">
        <v>269</v>
      </c>
      <c r="D191" s="204"/>
      <c r="E191" s="338">
        <v>0.0525</v>
      </c>
      <c r="F191" s="204"/>
      <c r="G191" s="344">
        <f>L63</f>
        <v>420000</v>
      </c>
      <c r="H191" s="48"/>
      <c r="I191" s="48"/>
      <c r="J191" s="48"/>
      <c r="K191" s="48"/>
      <c r="L191" s="48">
        <v>18375</v>
      </c>
      <c r="M191" s="48">
        <v>28516.228652510094</v>
      </c>
      <c r="N191" s="71"/>
      <c r="O191" s="112" t="s">
        <v>209</v>
      </c>
    </row>
    <row r="192" spans="1:15" ht="15" customHeight="1">
      <c r="A192" s="5"/>
      <c r="B192" s="143" t="s">
        <v>139</v>
      </c>
      <c r="C192" s="240" t="s">
        <v>269</v>
      </c>
      <c r="D192" s="205"/>
      <c r="E192" s="338">
        <v>0.0525</v>
      </c>
      <c r="F192" s="205"/>
      <c r="G192" s="305">
        <f>L64</f>
        <v>419999.99911096646</v>
      </c>
      <c r="H192" s="240"/>
      <c r="I192" s="240">
        <v>0</v>
      </c>
      <c r="J192" s="240">
        <v>0</v>
      </c>
      <c r="K192" s="301"/>
      <c r="L192" s="270">
        <f>E192*G192*0.83333</f>
        <v>18374.92646110494</v>
      </c>
      <c r="M192" s="343">
        <f>-PMT($E192,29,$G192)</f>
        <v>28516.228592148465</v>
      </c>
      <c r="N192" s="72"/>
      <c r="O192" s="113" t="s">
        <v>419</v>
      </c>
    </row>
    <row r="193" spans="1:15" ht="15" hidden="1">
      <c r="A193" s="5"/>
      <c r="B193" s="137">
        <v>6</v>
      </c>
      <c r="C193" s="48" t="s">
        <v>271</v>
      </c>
      <c r="D193" s="204"/>
      <c r="E193" s="338">
        <v>0.0525</v>
      </c>
      <c r="F193" s="204"/>
      <c r="G193" s="344">
        <f>M63</f>
        <v>600000</v>
      </c>
      <c r="H193" s="48"/>
      <c r="I193" s="48"/>
      <c r="J193" s="48"/>
      <c r="K193" s="48"/>
      <c r="L193" s="48"/>
      <c r="M193" s="48">
        <v>26250</v>
      </c>
      <c r="N193" s="71"/>
      <c r="O193" s="112" t="s">
        <v>209</v>
      </c>
    </row>
    <row r="194" spans="1:15" ht="15">
      <c r="A194" s="5"/>
      <c r="B194" s="143" t="s">
        <v>154</v>
      </c>
      <c r="C194" s="240" t="s">
        <v>271</v>
      </c>
      <c r="D194" s="205"/>
      <c r="E194" s="338">
        <v>0.0525</v>
      </c>
      <c r="F194" s="205"/>
      <c r="G194" s="305">
        <f>M64</f>
        <v>600000.0008971023</v>
      </c>
      <c r="H194" s="240"/>
      <c r="I194" s="258">
        <v>0</v>
      </c>
      <c r="J194" s="258">
        <v>0</v>
      </c>
      <c r="K194" s="301"/>
      <c r="L194" s="301"/>
      <c r="M194" s="270">
        <f>E194*G194*0.83333</f>
        <v>26249.89503924807</v>
      </c>
      <c r="N194" s="72"/>
      <c r="O194" s="113" t="s">
        <v>419</v>
      </c>
    </row>
    <row r="195" spans="2:15" ht="2.25" customHeight="1">
      <c r="B195" s="241"/>
      <c r="C195" s="241"/>
      <c r="D195" s="241"/>
      <c r="E195" s="241"/>
      <c r="F195" s="241"/>
      <c r="G195" s="241"/>
      <c r="H195" s="242"/>
      <c r="I195" s="242"/>
      <c r="J195" s="242"/>
      <c r="K195" s="9"/>
      <c r="L195" s="9"/>
      <c r="M195" s="9"/>
      <c r="N195" s="9"/>
      <c r="O195" s="9"/>
    </row>
    <row r="196" spans="1:15" ht="15" hidden="1">
      <c r="A196" s="5"/>
      <c r="B196" s="137">
        <v>7</v>
      </c>
      <c r="C196" s="48" t="s">
        <v>131</v>
      </c>
      <c r="D196" s="204"/>
      <c r="E196" s="204"/>
      <c r="F196" s="204"/>
      <c r="G196" s="204"/>
      <c r="H196" s="48">
        <f aca="true" t="shared" si="42" ref="H196:M197">H183+H185+H187+H189+H191+H193</f>
        <v>0</v>
      </c>
      <c r="I196" s="48">
        <f t="shared" si="42"/>
        <v>10000</v>
      </c>
      <c r="J196" s="48">
        <f t="shared" si="42"/>
        <v>37725.92356628677</v>
      </c>
      <c r="K196" s="48">
        <f t="shared" si="42"/>
        <v>75392.56481927498</v>
      </c>
      <c r="L196" s="48">
        <f t="shared" si="42"/>
        <v>107892.84758527117</v>
      </c>
      <c r="M196" s="48">
        <f t="shared" si="42"/>
        <v>144284.07623778126</v>
      </c>
      <c r="N196" s="71"/>
      <c r="O196" s="112" t="s">
        <v>248</v>
      </c>
    </row>
    <row r="197" spans="1:15" ht="15">
      <c r="A197" s="5"/>
      <c r="B197" s="143" t="s">
        <v>155</v>
      </c>
      <c r="C197" s="240" t="s">
        <v>131</v>
      </c>
      <c r="D197" s="205"/>
      <c r="E197" s="205"/>
      <c r="F197" s="205"/>
      <c r="G197" s="205"/>
      <c r="H197" s="272">
        <f t="shared" si="42"/>
        <v>0</v>
      </c>
      <c r="I197" s="325">
        <f t="shared" si="42"/>
        <v>5960.976259555141</v>
      </c>
      <c r="J197" s="325">
        <f t="shared" si="42"/>
        <v>24440.86782417301</v>
      </c>
      <c r="K197" s="270">
        <f t="shared" si="42"/>
        <v>52096.30948770171</v>
      </c>
      <c r="L197" s="270">
        <f t="shared" si="42"/>
        <v>86333.90366478913</v>
      </c>
      <c r="M197" s="270">
        <f t="shared" si="42"/>
        <v>122725.10083508072</v>
      </c>
      <c r="N197" s="298"/>
      <c r="O197" s="114" t="s">
        <v>249</v>
      </c>
    </row>
    <row r="198" spans="2:15" ht="2.25" customHeight="1">
      <c r="B198" s="241"/>
      <c r="C198" s="241"/>
      <c r="D198" s="241"/>
      <c r="E198" s="241"/>
      <c r="F198" s="241"/>
      <c r="G198" s="241"/>
      <c r="H198" s="242"/>
      <c r="I198" s="242"/>
      <c r="J198" s="242"/>
      <c r="K198" s="9"/>
      <c r="L198" s="9"/>
      <c r="M198" s="9"/>
      <c r="N198" s="9"/>
      <c r="O198" s="9"/>
    </row>
    <row r="199" spans="1:15" ht="15" hidden="1">
      <c r="A199" s="5"/>
      <c r="B199" s="137">
        <v>8</v>
      </c>
      <c r="C199" s="204" t="s">
        <v>132</v>
      </c>
      <c r="D199" s="204"/>
      <c r="E199" s="204"/>
      <c r="F199" s="204"/>
      <c r="G199" s="204"/>
      <c r="H199" s="48">
        <f aca="true" t="shared" si="43" ref="H199:M200">ROUND(H180,2)+H196</f>
        <v>175726.33</v>
      </c>
      <c r="I199" s="48">
        <f t="shared" si="43"/>
        <v>173516.36</v>
      </c>
      <c r="J199" s="48">
        <f t="shared" si="43"/>
        <v>202283.99356628678</v>
      </c>
      <c r="K199" s="48">
        <f t="shared" si="43"/>
        <v>226694.324819275</v>
      </c>
      <c r="L199" s="48">
        <f t="shared" si="43"/>
        <v>259330.73758527118</v>
      </c>
      <c r="M199" s="48">
        <f t="shared" si="43"/>
        <v>296722.87623778125</v>
      </c>
      <c r="N199" s="71"/>
      <c r="O199" s="112" t="s">
        <v>250</v>
      </c>
    </row>
    <row r="200" spans="1:15" ht="15">
      <c r="A200" s="5"/>
      <c r="B200" s="143" t="s">
        <v>156</v>
      </c>
      <c r="C200" s="240" t="s">
        <v>132</v>
      </c>
      <c r="D200" s="205"/>
      <c r="E200" s="205"/>
      <c r="F200" s="205"/>
      <c r="G200" s="205"/>
      <c r="H200" s="324">
        <f t="shared" si="43"/>
        <v>175726.33</v>
      </c>
      <c r="I200" s="324">
        <f t="shared" si="43"/>
        <v>169477.33625955513</v>
      </c>
      <c r="J200" s="324">
        <f t="shared" si="43"/>
        <v>188998.93782417302</v>
      </c>
      <c r="K200" s="270">
        <f t="shared" si="43"/>
        <v>203398.06948770172</v>
      </c>
      <c r="L200" s="270">
        <f t="shared" si="43"/>
        <v>237771.79366478915</v>
      </c>
      <c r="M200" s="270">
        <f t="shared" si="43"/>
        <v>275163.9008350807</v>
      </c>
      <c r="N200" s="345"/>
      <c r="O200" s="279" t="s">
        <v>251</v>
      </c>
    </row>
    <row r="201" spans="1:15" ht="15">
      <c r="A201" s="5"/>
      <c r="B201" s="316"/>
      <c r="C201" s="335" t="s">
        <v>133</v>
      </c>
      <c r="D201" s="335"/>
      <c r="E201" s="335"/>
      <c r="F201" s="335"/>
      <c r="G201" s="335"/>
      <c r="H201" s="335"/>
      <c r="I201" s="335"/>
      <c r="J201" s="335"/>
      <c r="K201" s="14"/>
      <c r="L201" s="14"/>
      <c r="M201" s="14"/>
      <c r="N201" s="14"/>
      <c r="O201" s="14"/>
    </row>
    <row r="202" spans="1:15" ht="15" hidden="1">
      <c r="A202" s="5"/>
      <c r="B202" s="137">
        <v>9</v>
      </c>
      <c r="C202" s="125" t="s">
        <v>308</v>
      </c>
      <c r="D202" s="125"/>
      <c r="E202" s="125"/>
      <c r="F202" s="204"/>
      <c r="G202" s="204"/>
      <c r="H202" s="48">
        <v>10651.114710000002</v>
      </c>
      <c r="I202" s="48">
        <v>10884.51855375</v>
      </c>
      <c r="J202" s="48">
        <v>11067.068053750001</v>
      </c>
      <c r="K202" s="48">
        <v>14863.849371423297</v>
      </c>
      <c r="L202" s="48">
        <v>14863.849371423299</v>
      </c>
      <c r="M202" s="48">
        <v>15182.216561307281</v>
      </c>
      <c r="N202" s="71"/>
      <c r="O202" s="112" t="s">
        <v>209</v>
      </c>
    </row>
    <row r="203" spans="1:15" ht="14.25" customHeight="1">
      <c r="A203" s="5"/>
      <c r="B203" s="143" t="s">
        <v>157</v>
      </c>
      <c r="C203" s="240" t="s">
        <v>308</v>
      </c>
      <c r="D203" s="205"/>
      <c r="E203" s="205"/>
      <c r="F203" s="205"/>
      <c r="G203" s="205"/>
      <c r="H203" s="324">
        <f aca="true" t="shared" si="44" ref="H203:M203">H202</f>
        <v>10651.114710000002</v>
      </c>
      <c r="I203" s="324">
        <f t="shared" si="44"/>
        <v>10884.51855375</v>
      </c>
      <c r="J203" s="324">
        <f t="shared" si="44"/>
        <v>11067.068053750001</v>
      </c>
      <c r="K203" s="301">
        <f t="shared" si="44"/>
        <v>14863.849371423297</v>
      </c>
      <c r="L203" s="301">
        <f t="shared" si="44"/>
        <v>14863.849371423299</v>
      </c>
      <c r="M203" s="301">
        <f t="shared" si="44"/>
        <v>15182.216561307281</v>
      </c>
      <c r="N203" s="25"/>
      <c r="O203" s="114" t="s">
        <v>212</v>
      </c>
    </row>
    <row r="204" spans="1:15" ht="15">
      <c r="A204" s="5"/>
      <c r="B204" s="316"/>
      <c r="C204" s="335" t="s">
        <v>265</v>
      </c>
      <c r="D204" s="335"/>
      <c r="E204" s="335"/>
      <c r="F204" s="335"/>
      <c r="G204" s="335"/>
      <c r="H204" s="335"/>
      <c r="I204" s="335"/>
      <c r="J204" s="335"/>
      <c r="K204" s="14"/>
      <c r="L204" s="14"/>
      <c r="M204" s="14"/>
      <c r="N204" s="14"/>
      <c r="O204" s="14"/>
    </row>
    <row r="205" spans="1:15" ht="15" hidden="1">
      <c r="A205" s="5"/>
      <c r="B205" s="137">
        <v>10</v>
      </c>
      <c r="C205" s="125" t="s">
        <v>265</v>
      </c>
      <c r="D205" s="125"/>
      <c r="E205" s="125"/>
      <c r="F205" s="204"/>
      <c r="G205" s="204"/>
      <c r="H205" s="48">
        <v>0</v>
      </c>
      <c r="I205" s="48">
        <v>2000</v>
      </c>
      <c r="J205" s="48">
        <v>4000</v>
      </c>
      <c r="K205" s="48">
        <v>4000</v>
      </c>
      <c r="L205" s="48">
        <v>4000</v>
      </c>
      <c r="M205" s="48">
        <v>4000</v>
      </c>
      <c r="N205" s="71"/>
      <c r="O205" s="112" t="s">
        <v>209</v>
      </c>
    </row>
    <row r="206" spans="1:15" ht="14.25" customHeight="1">
      <c r="A206" s="5"/>
      <c r="B206" s="143" t="s">
        <v>158</v>
      </c>
      <c r="C206" s="240" t="s">
        <v>265</v>
      </c>
      <c r="D206" s="205"/>
      <c r="E206" s="205"/>
      <c r="F206" s="205"/>
      <c r="G206" s="205"/>
      <c r="H206" s="346">
        <f aca="true" t="shared" si="45" ref="H206:M206">H205</f>
        <v>0</v>
      </c>
      <c r="I206" s="346">
        <f t="shared" si="45"/>
        <v>2000</v>
      </c>
      <c r="J206" s="346">
        <f t="shared" si="45"/>
        <v>4000</v>
      </c>
      <c r="K206" s="301">
        <f t="shared" si="45"/>
        <v>4000</v>
      </c>
      <c r="L206" s="301">
        <f t="shared" si="45"/>
        <v>4000</v>
      </c>
      <c r="M206" s="301">
        <f t="shared" si="45"/>
        <v>4000</v>
      </c>
      <c r="N206" s="25"/>
      <c r="O206" s="114" t="s">
        <v>212</v>
      </c>
    </row>
    <row r="207" spans="2:15" ht="2.25" customHeight="1">
      <c r="B207" s="241"/>
      <c r="C207" s="241"/>
      <c r="D207" s="241"/>
      <c r="E207" s="241"/>
      <c r="F207" s="241"/>
      <c r="G207" s="241"/>
      <c r="H207" s="242"/>
      <c r="I207" s="242"/>
      <c r="J207" s="242"/>
      <c r="K207" s="9"/>
      <c r="L207" s="9"/>
      <c r="M207" s="9"/>
      <c r="N207" s="9"/>
      <c r="O207" s="9"/>
    </row>
    <row r="208" spans="1:15" ht="15" hidden="1">
      <c r="A208" s="5"/>
      <c r="B208" s="137">
        <v>11</v>
      </c>
      <c r="C208" s="204" t="s">
        <v>34</v>
      </c>
      <c r="D208" s="204"/>
      <c r="E208" s="204"/>
      <c r="F208" s="204"/>
      <c r="G208" s="204"/>
      <c r="H208" s="48">
        <f aca="true" t="shared" si="46" ref="H208:M209">H199+H202+H205</f>
        <v>186377.44470999998</v>
      </c>
      <c r="I208" s="48">
        <f>I199+I202+I205</f>
        <v>186400.87855375</v>
      </c>
      <c r="J208" s="48">
        <f t="shared" si="46"/>
        <v>217351.06162003678</v>
      </c>
      <c r="K208" s="48">
        <f t="shared" si="46"/>
        <v>245558.1741906983</v>
      </c>
      <c r="L208" s="48">
        <f t="shared" si="46"/>
        <v>278194.5869566945</v>
      </c>
      <c r="M208" s="48">
        <f>M199+M202+M205</f>
        <v>315905.0927990885</v>
      </c>
      <c r="N208" s="71"/>
      <c r="O208" s="112" t="s">
        <v>283</v>
      </c>
    </row>
    <row r="209" spans="1:15" ht="15">
      <c r="A209" s="5"/>
      <c r="B209" s="143" t="s">
        <v>159</v>
      </c>
      <c r="C209" s="240" t="s">
        <v>34</v>
      </c>
      <c r="D209" s="205"/>
      <c r="E209" s="205"/>
      <c r="F209" s="205"/>
      <c r="G209" s="205"/>
      <c r="H209" s="255">
        <f t="shared" si="46"/>
        <v>186377.44470999998</v>
      </c>
      <c r="I209" s="255">
        <f>I200+I203+I206</f>
        <v>182361.85481330514</v>
      </c>
      <c r="J209" s="255">
        <f t="shared" si="46"/>
        <v>204066.00587792302</v>
      </c>
      <c r="K209" s="301">
        <f t="shared" si="46"/>
        <v>222261.91885912503</v>
      </c>
      <c r="L209" s="301">
        <f t="shared" si="46"/>
        <v>256635.64303621245</v>
      </c>
      <c r="M209" s="301">
        <f t="shared" si="46"/>
        <v>294346.11739638797</v>
      </c>
      <c r="N209" s="25"/>
      <c r="O209" s="303" t="s">
        <v>284</v>
      </c>
    </row>
    <row r="210" spans="2:15" ht="2.25" customHeight="1">
      <c r="B210" s="27"/>
      <c r="C210" s="28"/>
      <c r="D210" s="28"/>
      <c r="E210" s="28"/>
      <c r="F210" s="28"/>
      <c r="G210" s="28"/>
      <c r="H210" s="29"/>
      <c r="I210" s="29"/>
      <c r="J210" s="29"/>
      <c r="K210" s="29"/>
      <c r="L210" s="29"/>
      <c r="M210" s="29"/>
      <c r="N210" s="26"/>
      <c r="O210" s="26"/>
    </row>
    <row r="211" spans="2:15" ht="15" hidden="1">
      <c r="B211" s="446" t="s">
        <v>403</v>
      </c>
      <c r="C211" s="446"/>
      <c r="D211" s="446"/>
      <c r="E211" s="446"/>
      <c r="F211" s="446"/>
      <c r="G211" s="446"/>
      <c r="H211" s="446"/>
      <c r="I211" s="446"/>
      <c r="J211" s="446"/>
      <c r="K211" s="446"/>
      <c r="L211" s="446"/>
      <c r="M211" s="446"/>
      <c r="N211" s="26"/>
      <c r="O211" s="26"/>
    </row>
    <row r="212" spans="1:15" ht="15.75" customHeight="1" hidden="1">
      <c r="A212" s="5"/>
      <c r="B212" s="423" t="s">
        <v>401</v>
      </c>
      <c r="C212" s="423"/>
      <c r="D212" s="423"/>
      <c r="E212" s="423"/>
      <c r="F212" s="423"/>
      <c r="G212" s="423"/>
      <c r="H212" s="423"/>
      <c r="I212" s="423"/>
      <c r="J212" s="423"/>
      <c r="K212" s="423"/>
      <c r="L212" s="423"/>
      <c r="M212" s="423"/>
      <c r="N212" s="423"/>
      <c r="O212" s="423"/>
    </row>
    <row r="213" spans="1:15" ht="15" hidden="1">
      <c r="A213" s="5"/>
      <c r="B213" s="423"/>
      <c r="C213" s="423"/>
      <c r="D213" s="423"/>
      <c r="E213" s="423"/>
      <c r="F213" s="423"/>
      <c r="G213" s="423"/>
      <c r="H213" s="423"/>
      <c r="I213" s="423"/>
      <c r="J213" s="423"/>
      <c r="K213" s="423"/>
      <c r="L213" s="423"/>
      <c r="M213" s="423"/>
      <c r="N213" s="423"/>
      <c r="O213" s="423"/>
    </row>
    <row r="214" spans="1:15" ht="15" hidden="1">
      <c r="A214" s="5"/>
      <c r="B214" s="423"/>
      <c r="C214" s="423"/>
      <c r="D214" s="423"/>
      <c r="E214" s="423"/>
      <c r="F214" s="423"/>
      <c r="G214" s="423"/>
      <c r="H214" s="423"/>
      <c r="I214" s="423"/>
      <c r="J214" s="423"/>
      <c r="K214" s="423"/>
      <c r="L214" s="423"/>
      <c r="M214" s="423"/>
      <c r="N214" s="423"/>
      <c r="O214" s="423"/>
    </row>
    <row r="215" spans="1:15" ht="15" hidden="1">
      <c r="A215" s="5"/>
      <c r="B215" s="423"/>
      <c r="C215" s="423"/>
      <c r="D215" s="423"/>
      <c r="E215" s="423"/>
      <c r="F215" s="423"/>
      <c r="G215" s="423"/>
      <c r="H215" s="423"/>
      <c r="I215" s="423"/>
      <c r="J215" s="423"/>
      <c r="K215" s="423"/>
      <c r="L215" s="423"/>
      <c r="M215" s="423"/>
      <c r="N215" s="423"/>
      <c r="O215" s="423"/>
    </row>
    <row r="216" spans="1:15" ht="26.25" customHeight="1" hidden="1">
      <c r="A216" s="5"/>
      <c r="B216" s="423"/>
      <c r="C216" s="423"/>
      <c r="D216" s="423"/>
      <c r="E216" s="423"/>
      <c r="F216" s="423"/>
      <c r="G216" s="423"/>
      <c r="H216" s="423"/>
      <c r="I216" s="423"/>
      <c r="J216" s="423"/>
      <c r="K216" s="423"/>
      <c r="L216" s="423"/>
      <c r="M216" s="423"/>
      <c r="N216" s="423"/>
      <c r="O216" s="423"/>
    </row>
    <row r="217" spans="1:15" ht="15" hidden="1">
      <c r="A217" s="5"/>
      <c r="B217" s="444" t="s">
        <v>405</v>
      </c>
      <c r="C217" s="444"/>
      <c r="D217" s="444"/>
      <c r="E217" s="444"/>
      <c r="F217" s="444"/>
      <c r="G217" s="444"/>
      <c r="H217" s="444"/>
      <c r="I217" s="444"/>
      <c r="J217" s="444"/>
      <c r="K217" s="444"/>
      <c r="L217" s="444"/>
      <c r="M217" s="444"/>
      <c r="N217" s="444"/>
      <c r="O217" s="444"/>
    </row>
    <row r="218" spans="1:15" ht="15">
      <c r="A218" s="5"/>
      <c r="B218" s="347" t="s">
        <v>439</v>
      </c>
      <c r="C218" s="26"/>
      <c r="D218" s="302"/>
      <c r="E218" s="302"/>
      <c r="F218" s="348"/>
      <c r="G218" s="348"/>
      <c r="H218" s="348"/>
      <c r="I218" s="348"/>
      <c r="J218" s="25"/>
      <c r="K218" s="25"/>
      <c r="L218" s="25"/>
      <c r="M218" s="26"/>
      <c r="N218" s="26"/>
      <c r="O218" s="26"/>
    </row>
    <row r="219" spans="1:15" ht="15">
      <c r="A219" s="5"/>
      <c r="B219" s="307" t="s">
        <v>438</v>
      </c>
      <c r="C219" s="26"/>
      <c r="D219" s="302"/>
      <c r="E219" s="302"/>
      <c r="F219" s="348"/>
      <c r="G219" s="348"/>
      <c r="H219" s="348"/>
      <c r="I219" s="348"/>
      <c r="J219" s="25"/>
      <c r="K219" s="25"/>
      <c r="L219" s="25"/>
      <c r="M219" s="26"/>
      <c r="N219" s="26"/>
      <c r="O219" s="26"/>
    </row>
    <row r="220" spans="1:15" ht="15">
      <c r="A220" s="5"/>
      <c r="B220" s="349" t="s">
        <v>441</v>
      </c>
      <c r="C220" s="26"/>
      <c r="D220" s="302"/>
      <c r="E220" s="302"/>
      <c r="F220" s="348"/>
      <c r="G220" s="348"/>
      <c r="H220" s="348"/>
      <c r="I220" s="348"/>
      <c r="J220" s="25"/>
      <c r="K220" s="25"/>
      <c r="L220" s="25"/>
      <c r="M220" s="26"/>
      <c r="N220" s="26"/>
      <c r="O220" s="26"/>
    </row>
    <row r="221" spans="1:15" ht="15">
      <c r="A221" s="5"/>
      <c r="B221" s="307" t="s">
        <v>440</v>
      </c>
      <c r="C221" s="26"/>
      <c r="D221" s="302"/>
      <c r="E221" s="302"/>
      <c r="F221" s="348"/>
      <c r="G221" s="348"/>
      <c r="H221" s="348"/>
      <c r="I221" s="348"/>
      <c r="J221" s="25"/>
      <c r="K221" s="25"/>
      <c r="L221" s="25"/>
      <c r="M221" s="26"/>
      <c r="N221" s="26"/>
      <c r="O221" s="26"/>
    </row>
    <row r="222" spans="1:15" ht="15">
      <c r="A222" s="5"/>
      <c r="B222" s="349" t="s">
        <v>443</v>
      </c>
      <c r="C222" s="26"/>
      <c r="D222" s="302"/>
      <c r="E222" s="302"/>
      <c r="F222" s="348"/>
      <c r="G222" s="348"/>
      <c r="H222" s="348"/>
      <c r="I222" s="348"/>
      <c r="J222" s="25"/>
      <c r="K222" s="25"/>
      <c r="L222" s="25"/>
      <c r="M222" s="26"/>
      <c r="N222" s="26"/>
      <c r="O222" s="26"/>
    </row>
    <row r="223" spans="1:15" ht="15">
      <c r="A223" s="5"/>
      <c r="B223" s="307" t="s">
        <v>442</v>
      </c>
      <c r="C223" s="26"/>
      <c r="D223" s="302"/>
      <c r="E223" s="302"/>
      <c r="F223" s="348"/>
      <c r="G223" s="348"/>
      <c r="H223" s="348"/>
      <c r="I223" s="348"/>
      <c r="J223" s="25"/>
      <c r="K223" s="25"/>
      <c r="L223" s="25"/>
      <c r="M223" s="26"/>
      <c r="N223" s="26"/>
      <c r="O223" s="26"/>
    </row>
    <row r="224" spans="1:15" ht="15">
      <c r="A224" s="5"/>
      <c r="B224" s="347" t="s">
        <v>307</v>
      </c>
      <c r="C224" s="26"/>
      <c r="D224" s="25"/>
      <c r="E224" s="25"/>
      <c r="F224" s="25"/>
      <c r="G224" s="25"/>
      <c r="H224" s="25"/>
      <c r="I224" s="25"/>
      <c r="J224" s="25"/>
      <c r="K224" s="25"/>
      <c r="L224" s="25"/>
      <c r="M224" s="26"/>
      <c r="N224" s="26"/>
      <c r="O224" s="26"/>
    </row>
    <row r="225" spans="1:12" ht="15">
      <c r="A225" s="5"/>
      <c r="B225" s="5"/>
      <c r="C225" s="99"/>
      <c r="D225" s="5"/>
      <c r="E225" s="5"/>
      <c r="F225" s="5"/>
      <c r="G225" s="5"/>
      <c r="H225" s="5"/>
      <c r="I225" s="5"/>
      <c r="J225" s="5"/>
      <c r="K225" s="5"/>
      <c r="L225" s="5"/>
    </row>
    <row r="226" spans="1:15" ht="15" hidden="1">
      <c r="A226" s="5"/>
      <c r="B226" s="419" t="s">
        <v>401</v>
      </c>
      <c r="C226" s="420"/>
      <c r="D226" s="420"/>
      <c r="E226" s="420"/>
      <c r="F226" s="420"/>
      <c r="G226" s="420"/>
      <c r="H226" s="420"/>
      <c r="I226" s="420"/>
      <c r="J226" s="420"/>
      <c r="K226" s="420"/>
      <c r="L226" s="420"/>
      <c r="M226" s="420"/>
      <c r="N226" s="420"/>
      <c r="O226" s="421"/>
    </row>
    <row r="227" spans="1:16" ht="15" hidden="1">
      <c r="A227"/>
      <c r="B227" s="422"/>
      <c r="C227" s="423"/>
      <c r="D227" s="423"/>
      <c r="E227" s="423"/>
      <c r="F227" s="423"/>
      <c r="G227" s="423"/>
      <c r="H227" s="423"/>
      <c r="I227" s="423"/>
      <c r="J227" s="423"/>
      <c r="K227" s="423"/>
      <c r="L227" s="423"/>
      <c r="M227" s="423"/>
      <c r="N227" s="423"/>
      <c r="O227" s="424"/>
      <c r="P227"/>
    </row>
    <row r="228" spans="1:16" ht="15" hidden="1">
      <c r="A228"/>
      <c r="B228" s="422"/>
      <c r="C228" s="423"/>
      <c r="D228" s="423"/>
      <c r="E228" s="423"/>
      <c r="F228" s="423"/>
      <c r="G228" s="423"/>
      <c r="H228" s="423"/>
      <c r="I228" s="423"/>
      <c r="J228" s="423"/>
      <c r="K228" s="423"/>
      <c r="L228" s="423"/>
      <c r="M228" s="423"/>
      <c r="N228" s="423"/>
      <c r="O228" s="424"/>
      <c r="P228"/>
    </row>
    <row r="229" spans="1:16" ht="15" hidden="1">
      <c r="A229"/>
      <c r="B229" s="422"/>
      <c r="C229" s="423"/>
      <c r="D229" s="423"/>
      <c r="E229" s="423"/>
      <c r="F229" s="423"/>
      <c r="G229" s="423"/>
      <c r="H229" s="423"/>
      <c r="I229" s="423"/>
      <c r="J229" s="423"/>
      <c r="K229" s="423"/>
      <c r="L229" s="423"/>
      <c r="M229" s="423"/>
      <c r="N229" s="423"/>
      <c r="O229" s="424"/>
      <c r="P229"/>
    </row>
    <row r="230" spans="1:16" ht="29.25" customHeight="1" hidden="1">
      <c r="A230"/>
      <c r="B230" s="425"/>
      <c r="C230" s="426"/>
      <c r="D230" s="426"/>
      <c r="E230" s="426"/>
      <c r="F230" s="426"/>
      <c r="G230" s="426"/>
      <c r="H230" s="426"/>
      <c r="I230" s="426"/>
      <c r="J230" s="426"/>
      <c r="K230" s="426"/>
      <c r="L230" s="426"/>
      <c r="M230" s="426"/>
      <c r="N230" s="426"/>
      <c r="O230" s="427"/>
      <c r="P230"/>
    </row>
    <row r="231" spans="1:16" ht="15">
      <c r="A231"/>
      <c r="B231"/>
      <c r="C231"/>
      <c r="D231"/>
      <c r="E231"/>
      <c r="F231"/>
      <c r="G231"/>
      <c r="H231"/>
      <c r="I231"/>
      <c r="J231"/>
      <c r="K231"/>
      <c r="L231"/>
      <c r="M231"/>
      <c r="N231"/>
      <c r="O231"/>
      <c r="P231"/>
    </row>
    <row r="232" spans="1:16" ht="15">
      <c r="A232"/>
      <c r="B232"/>
      <c r="C232"/>
      <c r="D232"/>
      <c r="E232"/>
      <c r="F232"/>
      <c r="G232"/>
      <c r="H232"/>
      <c r="I232"/>
      <c r="J232"/>
      <c r="K232"/>
      <c r="L232"/>
      <c r="M232"/>
      <c r="N232"/>
      <c r="O232"/>
      <c r="P232"/>
    </row>
    <row r="233" spans="1:16" ht="15">
      <c r="A233"/>
      <c r="B233"/>
      <c r="C233"/>
      <c r="D233"/>
      <c r="E233"/>
      <c r="F233"/>
      <c r="G233"/>
      <c r="H233"/>
      <c r="I233"/>
      <c r="J233"/>
      <c r="K233"/>
      <c r="L233"/>
      <c r="M233"/>
      <c r="N233"/>
      <c r="O233"/>
      <c r="P233"/>
    </row>
    <row r="234" spans="1:16" ht="15">
      <c r="A234"/>
      <c r="B234"/>
      <c r="C234"/>
      <c r="D234"/>
      <c r="E234"/>
      <c r="F234"/>
      <c r="G234"/>
      <c r="H234"/>
      <c r="I234"/>
      <c r="J234"/>
      <c r="K234"/>
      <c r="L234"/>
      <c r="M234"/>
      <c r="N234"/>
      <c r="O234"/>
      <c r="P234"/>
    </row>
    <row r="235" spans="1:16" ht="15">
      <c r="A235"/>
      <c r="B235"/>
      <c r="C235"/>
      <c r="D235"/>
      <c r="E235"/>
      <c r="F235"/>
      <c r="G235"/>
      <c r="H235"/>
      <c r="I235"/>
      <c r="J235"/>
      <c r="K235"/>
      <c r="L235"/>
      <c r="M235"/>
      <c r="N235"/>
      <c r="O235"/>
      <c r="P235"/>
    </row>
    <row r="236" spans="1:16" ht="15">
      <c r="A236"/>
      <c r="B236"/>
      <c r="C236"/>
      <c r="D236"/>
      <c r="E236"/>
      <c r="F236"/>
      <c r="G236"/>
      <c r="H236"/>
      <c r="I236"/>
      <c r="J236"/>
      <c r="K236"/>
      <c r="L236"/>
      <c r="M236"/>
      <c r="N236"/>
      <c r="O236"/>
      <c r="P236"/>
    </row>
    <row r="237" spans="1:16" ht="15">
      <c r="A237"/>
      <c r="B237"/>
      <c r="C237"/>
      <c r="D237"/>
      <c r="E237"/>
      <c r="F237"/>
      <c r="G237"/>
      <c r="H237"/>
      <c r="I237"/>
      <c r="J237"/>
      <c r="K237"/>
      <c r="L237"/>
      <c r="M237"/>
      <c r="N237"/>
      <c r="O237"/>
      <c r="P237"/>
    </row>
    <row r="238" spans="1:16" ht="15">
      <c r="A238"/>
      <c r="B238"/>
      <c r="C238"/>
      <c r="D238"/>
      <c r="E238"/>
      <c r="F238"/>
      <c r="G238"/>
      <c r="H238"/>
      <c r="I238"/>
      <c r="J238"/>
      <c r="K238"/>
      <c r="L238"/>
      <c r="M238"/>
      <c r="N238"/>
      <c r="O238"/>
      <c r="P238"/>
    </row>
    <row r="239" spans="1:16" ht="15">
      <c r="A239"/>
      <c r="B239"/>
      <c r="C239"/>
      <c r="D239"/>
      <c r="E239"/>
      <c r="F239"/>
      <c r="G239"/>
      <c r="H239"/>
      <c r="I239"/>
      <c r="J239"/>
      <c r="K239"/>
      <c r="L239"/>
      <c r="M239"/>
      <c r="N239"/>
      <c r="O239"/>
      <c r="P239"/>
    </row>
    <row r="240" spans="1:16" ht="15">
      <c r="A240"/>
      <c r="B240"/>
      <c r="C240"/>
      <c r="D240"/>
      <c r="E240"/>
      <c r="F240"/>
      <c r="G240"/>
      <c r="H240"/>
      <c r="I240"/>
      <c r="J240"/>
      <c r="K240"/>
      <c r="L240"/>
      <c r="M240"/>
      <c r="N240"/>
      <c r="O240"/>
      <c r="P240"/>
    </row>
    <row r="241" spans="1:16" ht="15">
      <c r="A241"/>
      <c r="B241"/>
      <c r="C241"/>
      <c r="D241"/>
      <c r="E241"/>
      <c r="F241"/>
      <c r="G241"/>
      <c r="H241"/>
      <c r="I241"/>
      <c r="J241"/>
      <c r="K241"/>
      <c r="L241"/>
      <c r="M241"/>
      <c r="N241"/>
      <c r="O241"/>
      <c r="P241"/>
    </row>
    <row r="242" spans="1:16" ht="15">
      <c r="A242"/>
      <c r="B242"/>
      <c r="C242"/>
      <c r="D242"/>
      <c r="E242"/>
      <c r="F242"/>
      <c r="G242"/>
      <c r="H242"/>
      <c r="I242"/>
      <c r="J242"/>
      <c r="K242"/>
      <c r="L242"/>
      <c r="M242"/>
      <c r="N242"/>
      <c r="O242"/>
      <c r="P242"/>
    </row>
    <row r="243" spans="1:16" ht="15">
      <c r="A243"/>
      <c r="B243"/>
      <c r="C243"/>
      <c r="D243"/>
      <c r="E243"/>
      <c r="F243"/>
      <c r="G243"/>
      <c r="H243"/>
      <c r="I243"/>
      <c r="J243"/>
      <c r="K243"/>
      <c r="L243"/>
      <c r="M243"/>
      <c r="N243"/>
      <c r="O243"/>
      <c r="P243"/>
    </row>
    <row r="244" spans="1:16" ht="15">
      <c r="A244"/>
      <c r="B244"/>
      <c r="C244"/>
      <c r="D244"/>
      <c r="E244"/>
      <c r="F244"/>
      <c r="G244"/>
      <c r="H244"/>
      <c r="I244"/>
      <c r="J244"/>
      <c r="K244"/>
      <c r="L244"/>
      <c r="M244"/>
      <c r="N244"/>
      <c r="O244"/>
      <c r="P244"/>
    </row>
    <row r="245" spans="1:16" ht="15">
      <c r="A245"/>
      <c r="B245"/>
      <c r="C245"/>
      <c r="D245"/>
      <c r="E245"/>
      <c r="F245"/>
      <c r="G245"/>
      <c r="H245"/>
      <c r="I245"/>
      <c r="J245"/>
      <c r="K245"/>
      <c r="L245"/>
      <c r="M245"/>
      <c r="N245"/>
      <c r="O245"/>
      <c r="P245"/>
    </row>
    <row r="246" spans="1:16" ht="15">
      <c r="A246"/>
      <c r="B246"/>
      <c r="C246"/>
      <c r="D246"/>
      <c r="E246"/>
      <c r="F246"/>
      <c r="G246"/>
      <c r="H246"/>
      <c r="I246"/>
      <c r="J246"/>
      <c r="K246"/>
      <c r="L246"/>
      <c r="M246"/>
      <c r="N246"/>
      <c r="O246"/>
      <c r="P246"/>
    </row>
    <row r="247" spans="1:16" ht="15">
      <c r="A247"/>
      <c r="B247"/>
      <c r="C247"/>
      <c r="D247"/>
      <c r="E247"/>
      <c r="F247"/>
      <c r="G247"/>
      <c r="H247"/>
      <c r="I247"/>
      <c r="J247"/>
      <c r="K247"/>
      <c r="L247"/>
      <c r="M247"/>
      <c r="N247"/>
      <c r="O247"/>
      <c r="P247"/>
    </row>
    <row r="248" spans="1:16" ht="15">
      <c r="A248"/>
      <c r="B248"/>
      <c r="C248"/>
      <c r="D248"/>
      <c r="E248"/>
      <c r="F248"/>
      <c r="G248"/>
      <c r="H248"/>
      <c r="I248"/>
      <c r="J248"/>
      <c r="K248"/>
      <c r="L248"/>
      <c r="M248"/>
      <c r="N248"/>
      <c r="O248"/>
      <c r="P248"/>
    </row>
    <row r="249" spans="1:16" ht="15">
      <c r="A249"/>
      <c r="B249"/>
      <c r="C249"/>
      <c r="D249"/>
      <c r="E249"/>
      <c r="F249"/>
      <c r="G249"/>
      <c r="H249"/>
      <c r="I249"/>
      <c r="J249"/>
      <c r="K249"/>
      <c r="L249"/>
      <c r="M249"/>
      <c r="N249"/>
      <c r="O249"/>
      <c r="P249"/>
    </row>
    <row r="250" spans="1:16" ht="15">
      <c r="A250"/>
      <c r="B250"/>
      <c r="C250"/>
      <c r="D250"/>
      <c r="E250"/>
      <c r="F250"/>
      <c r="G250"/>
      <c r="H250"/>
      <c r="I250"/>
      <c r="J250"/>
      <c r="K250"/>
      <c r="L250"/>
      <c r="M250"/>
      <c r="N250"/>
      <c r="O250"/>
      <c r="P250"/>
    </row>
    <row r="251" spans="1:16" ht="15">
      <c r="A251"/>
      <c r="B251"/>
      <c r="C251"/>
      <c r="D251"/>
      <c r="E251"/>
      <c r="F251"/>
      <c r="G251"/>
      <c r="H251"/>
      <c r="I251"/>
      <c r="J251"/>
      <c r="K251"/>
      <c r="L251"/>
      <c r="M251"/>
      <c r="N251"/>
      <c r="O251"/>
      <c r="P251"/>
    </row>
    <row r="252" spans="1:16" ht="15">
      <c r="A252"/>
      <c r="B252"/>
      <c r="C252"/>
      <c r="D252"/>
      <c r="E252"/>
      <c r="F252"/>
      <c r="G252"/>
      <c r="H252"/>
      <c r="I252"/>
      <c r="J252"/>
      <c r="K252"/>
      <c r="L252"/>
      <c r="M252"/>
      <c r="N252"/>
      <c r="O252"/>
      <c r="P252"/>
    </row>
    <row r="253" spans="1:16" ht="15">
      <c r="A253"/>
      <c r="B253"/>
      <c r="C253"/>
      <c r="D253"/>
      <c r="E253"/>
      <c r="F253"/>
      <c r="G253"/>
      <c r="H253"/>
      <c r="I253"/>
      <c r="J253"/>
      <c r="K253"/>
      <c r="L253"/>
      <c r="M253"/>
      <c r="N253"/>
      <c r="O253"/>
      <c r="P253"/>
    </row>
    <row r="254" spans="1:16" ht="15">
      <c r="A254"/>
      <c r="B254"/>
      <c r="C254"/>
      <c r="D254"/>
      <c r="E254"/>
      <c r="F254"/>
      <c r="G254"/>
      <c r="H254"/>
      <c r="I254"/>
      <c r="J254"/>
      <c r="K254"/>
      <c r="L254"/>
      <c r="M254"/>
      <c r="N254"/>
      <c r="O254"/>
      <c r="P254"/>
    </row>
    <row r="255" spans="1:16" ht="15">
      <c r="A255"/>
      <c r="B255"/>
      <c r="C255"/>
      <c r="D255"/>
      <c r="E255"/>
      <c r="F255"/>
      <c r="G255"/>
      <c r="H255"/>
      <c r="I255"/>
      <c r="J255"/>
      <c r="K255"/>
      <c r="L255"/>
      <c r="M255"/>
      <c r="N255"/>
      <c r="O255"/>
      <c r="P255"/>
    </row>
    <row r="256" spans="1:16" ht="15">
      <c r="A256"/>
      <c r="B256"/>
      <c r="C256"/>
      <c r="D256"/>
      <c r="E256"/>
      <c r="F256"/>
      <c r="G256"/>
      <c r="H256"/>
      <c r="I256"/>
      <c r="J256"/>
      <c r="K256"/>
      <c r="L256"/>
      <c r="M256"/>
      <c r="N256"/>
      <c r="O256"/>
      <c r="P256"/>
    </row>
    <row r="257" spans="1:16" ht="15">
      <c r="A257"/>
      <c r="B257"/>
      <c r="C257"/>
      <c r="D257"/>
      <c r="E257"/>
      <c r="F257"/>
      <c r="G257"/>
      <c r="H257"/>
      <c r="I257"/>
      <c r="J257"/>
      <c r="K257"/>
      <c r="L257"/>
      <c r="M257"/>
      <c r="N257"/>
      <c r="O257"/>
      <c r="P257"/>
    </row>
    <row r="258" spans="1:16" ht="15">
      <c r="A258"/>
      <c r="B258"/>
      <c r="C258"/>
      <c r="D258"/>
      <c r="E258"/>
      <c r="F258"/>
      <c r="G258"/>
      <c r="H258"/>
      <c r="I258"/>
      <c r="J258"/>
      <c r="K258"/>
      <c r="L258"/>
      <c r="M258"/>
      <c r="N258"/>
      <c r="O258"/>
      <c r="P258"/>
    </row>
    <row r="259" spans="1:16" ht="15">
      <c r="A259"/>
      <c r="B259"/>
      <c r="C259"/>
      <c r="D259"/>
      <c r="E259"/>
      <c r="F259"/>
      <c r="G259"/>
      <c r="H259"/>
      <c r="I259"/>
      <c r="J259"/>
      <c r="K259"/>
      <c r="L259"/>
      <c r="M259"/>
      <c r="N259"/>
      <c r="O259"/>
      <c r="P259"/>
    </row>
    <row r="260" spans="1:16" ht="15">
      <c r="A260"/>
      <c r="B260"/>
      <c r="C260"/>
      <c r="D260"/>
      <c r="E260"/>
      <c r="F260"/>
      <c r="G260"/>
      <c r="H260"/>
      <c r="I260"/>
      <c r="J260"/>
      <c r="K260"/>
      <c r="L260"/>
      <c r="M260"/>
      <c r="N260"/>
      <c r="O260"/>
      <c r="P260"/>
    </row>
    <row r="261" ht="15"/>
    <row r="262" ht="15"/>
    <row r="263" ht="15"/>
    <row r="264" ht="15"/>
    <row r="265" ht="15"/>
    <row r="266" ht="15"/>
    <row r="267" ht="15"/>
    <row r="268" ht="15"/>
    <row r="269" ht="15"/>
    <row r="270" ht="15"/>
    <row r="271" ht="15"/>
    <row r="272" ht="15"/>
    <row r="273" ht="15"/>
    <row r="274" ht="15"/>
    <row r="275" ht="15"/>
    <row r="276" ht="15"/>
  </sheetData>
  <sheetProtection/>
  <protectedRanges>
    <protectedRange sqref="H97" name="Range1_6"/>
    <protectedRange sqref="B39:B41 C90:C94 C128:C132 C161:C165 C212:C216 C226:C230 C42:C47" name="Range1_6_2"/>
    <protectedRange sqref="B157:B159 C160" name="Range1_6_3"/>
    <protectedRange sqref="B218:B224 C225" name="Range1_6_4"/>
  </protectedRanges>
  <mergeCells count="35">
    <mergeCell ref="B161:O165"/>
    <mergeCell ref="B211:M211"/>
    <mergeCell ref="B212:O216"/>
    <mergeCell ref="B226:O230"/>
    <mergeCell ref="B95:O95"/>
    <mergeCell ref="B133:O133"/>
    <mergeCell ref="B217:O217"/>
    <mergeCell ref="B175:O175"/>
    <mergeCell ref="B173:O173"/>
    <mergeCell ref="B174:O174"/>
    <mergeCell ref="B128:O132"/>
    <mergeCell ref="B8:O8"/>
    <mergeCell ref="B9:O9"/>
    <mergeCell ref="B10:O10"/>
    <mergeCell ref="B58:O58"/>
    <mergeCell ref="B56:O56"/>
    <mergeCell ref="B57:O57"/>
    <mergeCell ref="B43:O47"/>
    <mergeCell ref="B52:J52"/>
    <mergeCell ref="B2:J2"/>
    <mergeCell ref="B3:J3"/>
    <mergeCell ref="B4:J4"/>
    <mergeCell ref="B5:J5"/>
    <mergeCell ref="C12:G12"/>
    <mergeCell ref="B51:J51"/>
    <mergeCell ref="B172:J172"/>
    <mergeCell ref="C177:G177"/>
    <mergeCell ref="C182:D182"/>
    <mergeCell ref="B53:J53"/>
    <mergeCell ref="B54:J54"/>
    <mergeCell ref="C60:G60"/>
    <mergeCell ref="B169:J169"/>
    <mergeCell ref="B170:J170"/>
    <mergeCell ref="B171:J171"/>
    <mergeCell ref="B90:O94"/>
  </mergeCells>
  <printOptions horizontalCentered="1"/>
  <pageMargins left="0.2" right="0.45" top="1.25" bottom="0.25" header="0.3" footer="0.3"/>
  <pageSetup fitToHeight="4" horizontalDpi="600" verticalDpi="600" orientation="portrait" r:id="rId1"/>
  <headerFooter>
    <oddHeader>&amp;RSchedule LKM - 4
&amp;P of &amp;N</oddHeader>
  </headerFooter>
  <rowBreaks count="1" manualBreakCount="1">
    <brk id="133" min="1" max="14" man="1"/>
  </rowBreaks>
  <ignoredErrors>
    <ignoredError sqref="H12:J12 H60:J60 H150:J150 H177:J177" numberStoredAsText="1"/>
    <ignoredError sqref="J34" formula="1"/>
  </ignoredErrors>
</worksheet>
</file>

<file path=xl/worksheets/sheet6.xml><?xml version="1.0" encoding="utf-8"?>
<worksheet xmlns="http://schemas.openxmlformats.org/spreadsheetml/2006/main" xmlns:r="http://schemas.openxmlformats.org/officeDocument/2006/relationships">
  <sheetPr>
    <tabColor indexed="11"/>
  </sheetPr>
  <dimension ref="B2:O93"/>
  <sheetViews>
    <sheetView showGridLines="0" zoomScale="120" zoomScaleNormal="120" zoomScaleSheetLayoutView="129" zoomScalePageLayoutView="0" workbookViewId="0" topLeftCell="A19">
      <selection activeCell="S19" sqref="S19"/>
    </sheetView>
  </sheetViews>
  <sheetFormatPr defaultColWidth="8.625" defaultRowHeight="15.75"/>
  <cols>
    <col min="1" max="1" width="2.125" style="0" customWidth="1"/>
    <col min="2" max="2" width="8.625" style="0" customWidth="1"/>
    <col min="3" max="3" width="11.125" style="0" customWidth="1"/>
    <col min="4" max="7" width="8.625" style="0" customWidth="1"/>
    <col min="8" max="10" width="11.125" style="0" bestFit="1" customWidth="1"/>
    <col min="11" max="13" width="11.125" style="0" hidden="1" customWidth="1"/>
  </cols>
  <sheetData>
    <row r="2" spans="2:10" ht="15">
      <c r="B2" s="416" t="s">
        <v>422</v>
      </c>
      <c r="C2" s="416"/>
      <c r="D2" s="416"/>
      <c r="E2" s="416"/>
      <c r="F2" s="416"/>
      <c r="G2" s="416"/>
      <c r="H2" s="416"/>
      <c r="I2" s="416"/>
      <c r="J2" s="416"/>
    </row>
    <row r="3" spans="2:10" ht="15">
      <c r="B3" s="417" t="s">
        <v>444</v>
      </c>
      <c r="C3" s="417"/>
      <c r="D3" s="417"/>
      <c r="E3" s="417"/>
      <c r="F3" s="417"/>
      <c r="G3" s="417"/>
      <c r="H3" s="417"/>
      <c r="I3" s="417"/>
      <c r="J3" s="417"/>
    </row>
    <row r="4" spans="2:10" ht="15">
      <c r="B4" s="418" t="s">
        <v>424</v>
      </c>
      <c r="C4" s="418"/>
      <c r="D4" s="418"/>
      <c r="E4" s="418"/>
      <c r="F4" s="418"/>
      <c r="G4" s="418"/>
      <c r="H4" s="418"/>
      <c r="I4" s="418"/>
      <c r="J4" s="418"/>
    </row>
    <row r="5" spans="2:10" ht="15">
      <c r="B5" s="436" t="s">
        <v>433</v>
      </c>
      <c r="C5" s="436"/>
      <c r="D5" s="436"/>
      <c r="E5" s="436"/>
      <c r="F5" s="436"/>
      <c r="G5" s="436"/>
      <c r="H5" s="436"/>
      <c r="I5" s="436"/>
      <c r="J5" s="436"/>
    </row>
    <row r="7" spans="2:13" ht="18" hidden="1">
      <c r="B7" s="65"/>
      <c r="C7" s="66" t="s">
        <v>1</v>
      </c>
      <c r="D7" s="66"/>
      <c r="E7" s="66"/>
      <c r="F7" s="66"/>
      <c r="G7" s="66"/>
      <c r="H7" s="66"/>
      <c r="I7" s="66"/>
      <c r="J7" s="66"/>
      <c r="K7" s="67"/>
      <c r="L7" s="66"/>
      <c r="M7" s="67"/>
    </row>
    <row r="8" spans="2:13" ht="18" hidden="1">
      <c r="B8" s="89"/>
      <c r="C8" s="2" t="s">
        <v>51</v>
      </c>
      <c r="D8" s="2"/>
      <c r="E8" s="2"/>
      <c r="F8" s="2"/>
      <c r="G8" s="2"/>
      <c r="H8" s="2"/>
      <c r="I8" s="2"/>
      <c r="J8" s="2"/>
      <c r="K8" s="90"/>
      <c r="L8" s="2"/>
      <c r="M8" s="90"/>
    </row>
    <row r="9" spans="2:13" ht="18" hidden="1">
      <c r="B9" s="89"/>
      <c r="C9" s="2" t="s">
        <v>246</v>
      </c>
      <c r="D9" s="2"/>
      <c r="E9" s="2"/>
      <c r="F9" s="2"/>
      <c r="G9" s="2"/>
      <c r="H9" s="2"/>
      <c r="I9" s="2"/>
      <c r="J9" s="2"/>
      <c r="K9" s="2"/>
      <c r="L9" s="2"/>
      <c r="M9" s="90"/>
    </row>
    <row r="10" spans="2:13" ht="18" hidden="1">
      <c r="B10" s="89"/>
      <c r="C10" s="2" t="s">
        <v>247</v>
      </c>
      <c r="D10" s="2"/>
      <c r="E10" s="2"/>
      <c r="F10" s="2"/>
      <c r="G10" s="2"/>
      <c r="H10" s="2"/>
      <c r="I10" s="2"/>
      <c r="J10" s="2"/>
      <c r="K10" s="2"/>
      <c r="L10" s="2"/>
      <c r="M10" s="90"/>
    </row>
    <row r="11" spans="2:15" ht="15" hidden="1">
      <c r="B11" s="457" t="s">
        <v>405</v>
      </c>
      <c r="C11" s="458"/>
      <c r="D11" s="458"/>
      <c r="E11" s="458"/>
      <c r="F11" s="458"/>
      <c r="G11" s="458"/>
      <c r="H11" s="458"/>
      <c r="I11" s="458"/>
      <c r="J11" s="458"/>
      <c r="K11" s="458"/>
      <c r="L11" s="458"/>
      <c r="M11" s="458"/>
      <c r="N11" s="128"/>
      <c r="O11" s="128"/>
    </row>
    <row r="12" spans="2:13" ht="17.25">
      <c r="B12" s="234" t="s">
        <v>244</v>
      </c>
      <c r="C12" s="437" t="s">
        <v>0</v>
      </c>
      <c r="D12" s="437"/>
      <c r="E12" s="437"/>
      <c r="F12" s="437"/>
      <c r="G12" s="437"/>
      <c r="H12" s="235" t="s">
        <v>427</v>
      </c>
      <c r="I12" s="235" t="s">
        <v>426</v>
      </c>
      <c r="J12" s="235" t="s">
        <v>425</v>
      </c>
      <c r="K12" s="33">
        <f>J12+1</f>
        <v>2024</v>
      </c>
      <c r="L12" s="33">
        <f>K12+1</f>
        <v>2025</v>
      </c>
      <c r="M12" s="107">
        <f>L12+1</f>
        <v>2026</v>
      </c>
    </row>
    <row r="13" spans="2:13" ht="15">
      <c r="B13" s="7"/>
      <c r="C13" s="31" t="s">
        <v>49</v>
      </c>
      <c r="D13" s="7"/>
      <c r="E13" s="32"/>
      <c r="F13" s="32"/>
      <c r="G13" s="32"/>
      <c r="H13" s="32"/>
      <c r="I13" s="32"/>
      <c r="J13" s="32"/>
      <c r="K13" s="32"/>
      <c r="L13" s="32"/>
      <c r="M13" s="32"/>
    </row>
    <row r="14" spans="2:13" ht="15" hidden="1">
      <c r="B14" s="137">
        <v>1</v>
      </c>
      <c r="C14" s="352" t="s">
        <v>52</v>
      </c>
      <c r="D14" s="352"/>
      <c r="E14" s="352"/>
      <c r="F14" s="352"/>
      <c r="G14" s="125"/>
      <c r="H14" s="137">
        <f>'Table C-1'!H124</f>
        <v>150651.57515000002</v>
      </c>
      <c r="I14" s="137">
        <f>'Table C-1'!I124</f>
        <v>108951.57515000002</v>
      </c>
      <c r="J14" s="137">
        <f>'Table C-1'!J124</f>
        <v>108851.57515000002</v>
      </c>
      <c r="K14" s="137">
        <f>'Table C-1'!K124</f>
        <v>109551.57515000002</v>
      </c>
      <c r="L14" s="137">
        <f>'Table C-1'!L124</f>
        <v>112351.57515000002</v>
      </c>
      <c r="M14" s="137">
        <f>'Table C-1'!M124</f>
        <v>112951.57515000002</v>
      </c>
    </row>
    <row r="15" spans="2:13" ht="15">
      <c r="B15" s="181" t="s">
        <v>135</v>
      </c>
      <c r="C15" s="353" t="s">
        <v>52</v>
      </c>
      <c r="D15" s="353"/>
      <c r="E15" s="353"/>
      <c r="F15" s="353"/>
      <c r="G15" s="40"/>
      <c r="H15" s="354">
        <f>'Table C-1'!H125</f>
        <v>150651.58</v>
      </c>
      <c r="I15" s="354">
        <f>'Table C-1'!I125</f>
        <v>175651.58</v>
      </c>
      <c r="J15" s="354">
        <f>'Table C-1'!J125</f>
        <v>175651.58</v>
      </c>
      <c r="K15" s="181">
        <f>'Table C-1'!K125</f>
        <v>147651.58</v>
      </c>
      <c r="L15" s="181">
        <f>'Table C-1'!L125</f>
        <v>150451.58</v>
      </c>
      <c r="M15" s="181">
        <f>'Table C-1'!M125</f>
        <v>151051.58</v>
      </c>
    </row>
    <row r="16" spans="2:13" ht="15" hidden="1">
      <c r="B16" s="355">
        <v>2</v>
      </c>
      <c r="C16" s="352" t="s">
        <v>379</v>
      </c>
      <c r="D16" s="125"/>
      <c r="E16" s="125"/>
      <c r="F16" s="125"/>
      <c r="G16" s="125"/>
      <c r="H16" s="137">
        <f>'Table C-1'!H126</f>
        <v>-41700</v>
      </c>
      <c r="I16" s="137">
        <f>'Table C-1'!I126</f>
        <v>-100</v>
      </c>
      <c r="J16" s="137">
        <f>'Table C-1'!J126</f>
        <v>700</v>
      </c>
      <c r="K16" s="137">
        <f>'Table C-1'!K126</f>
        <v>2800</v>
      </c>
      <c r="L16" s="137">
        <f>'Table C-1'!L126</f>
        <v>600</v>
      </c>
      <c r="M16" s="137">
        <f>'Table C-1'!M126</f>
        <v>500</v>
      </c>
    </row>
    <row r="17" spans="2:13" ht="15">
      <c r="B17" s="356" t="s">
        <v>136</v>
      </c>
      <c r="C17" s="357" t="s">
        <v>445</v>
      </c>
      <c r="D17" s="353"/>
      <c r="E17" s="353"/>
      <c r="F17" s="353"/>
      <c r="G17" s="40"/>
      <c r="H17" s="358">
        <f>'Table C-1'!H127</f>
        <v>25000</v>
      </c>
      <c r="I17" s="358">
        <f>'Table C-1'!I127</f>
        <v>0</v>
      </c>
      <c r="J17" s="358">
        <f>'Table C-1'!J127</f>
        <v>-28000</v>
      </c>
      <c r="K17" s="181">
        <f>'Table C-1'!K127</f>
        <v>2800</v>
      </c>
      <c r="L17" s="181">
        <f>'Table C-1'!L127</f>
        <v>600</v>
      </c>
      <c r="M17" s="181">
        <f>'Table C-1'!M127</f>
        <v>500</v>
      </c>
    </row>
    <row r="18" spans="2:13" ht="15" hidden="1">
      <c r="B18" s="137">
        <v>3</v>
      </c>
      <c r="C18" s="125" t="s">
        <v>53</v>
      </c>
      <c r="D18" s="125"/>
      <c r="E18" s="125"/>
      <c r="F18" s="125"/>
      <c r="G18" s="125"/>
      <c r="H18" s="359">
        <f>'Table C-1'!H129</f>
        <v>108951.57515000002</v>
      </c>
      <c r="I18" s="359">
        <f>'Table C-1'!I129</f>
        <v>108851.57515000002</v>
      </c>
      <c r="J18" s="359">
        <f>'Table C-1'!J129</f>
        <v>109551.57515000002</v>
      </c>
      <c r="K18" s="137">
        <f>'Table C-1'!K129</f>
        <v>112351.57515000002</v>
      </c>
      <c r="L18" s="137">
        <f>'Table C-1'!L129</f>
        <v>112951.57515000002</v>
      </c>
      <c r="M18" s="137">
        <f>'Table C-1'!M129</f>
        <v>113451.57515000002</v>
      </c>
    </row>
    <row r="19" spans="2:13" ht="15">
      <c r="B19" s="181" t="s">
        <v>137</v>
      </c>
      <c r="C19" s="40" t="s">
        <v>381</v>
      </c>
      <c r="D19" s="40"/>
      <c r="E19" s="40"/>
      <c r="F19" s="40"/>
      <c r="G19" s="40"/>
      <c r="H19" s="354">
        <f>'Table C-1'!H130</f>
        <v>175651.58</v>
      </c>
      <c r="I19" s="354">
        <f>'Table C-1'!I130</f>
        <v>175651.58</v>
      </c>
      <c r="J19" s="354">
        <f>'Table C-1'!J130</f>
        <v>147651.58</v>
      </c>
      <c r="K19" s="181">
        <f>'Table C-1'!K130</f>
        <v>150451.58</v>
      </c>
      <c r="L19" s="181">
        <f>'Table C-1'!L130</f>
        <v>151051.58</v>
      </c>
      <c r="M19" s="181">
        <f>'Table C-1'!M130</f>
        <v>151551.58</v>
      </c>
    </row>
    <row r="20" spans="2:13" ht="15" hidden="1">
      <c r="B20" s="147">
        <v>4</v>
      </c>
      <c r="C20" s="387" t="s">
        <v>151</v>
      </c>
      <c r="D20" s="387"/>
      <c r="E20" s="387"/>
      <c r="F20" s="387"/>
      <c r="G20" s="387"/>
      <c r="H20" s="359">
        <f>'Table C-1'!H121</f>
        <v>15064.48958571093</v>
      </c>
      <c r="I20" s="359">
        <f>'Table C-1'!I121</f>
        <v>15049.40300254966</v>
      </c>
      <c r="J20" s="359">
        <f>'Table C-1'!J121</f>
        <v>15009.40580183944</v>
      </c>
      <c r="K20" s="360">
        <f>'Table C-1'!K121</f>
        <v>15062.294785367103</v>
      </c>
      <c r="L20" s="360">
        <f>'Table C-1'!L121</f>
        <v>15050.785824667142</v>
      </c>
      <c r="M20" s="360">
        <f>'Table C-1'!M121</f>
        <v>15071.048763383615</v>
      </c>
    </row>
    <row r="21" spans="2:13" ht="15" hidden="1">
      <c r="B21" s="147">
        <v>5</v>
      </c>
      <c r="C21" s="454" t="s">
        <v>152</v>
      </c>
      <c r="D21" s="454"/>
      <c r="E21" s="454"/>
      <c r="F21" s="454"/>
      <c r="G21" s="454"/>
      <c r="H21" s="361">
        <f>'Table C-1'!H129+'Table C-1'!H121</f>
        <v>124016.06473571094</v>
      </c>
      <c r="I21" s="361">
        <f>'Table C-1'!I129+'Table C-1'!I121</f>
        <v>123900.97815254968</v>
      </c>
      <c r="J21" s="361">
        <f>'Table C-1'!J129+'Table C-1'!J121</f>
        <v>124560.98095183946</v>
      </c>
      <c r="K21" s="362">
        <f>'Table C-1'!K129+'Table C-1'!K121</f>
        <v>127413.86993536713</v>
      </c>
      <c r="L21" s="362">
        <f>'Table C-1'!L129+'Table C-1'!L121</f>
        <v>128002.36097466716</v>
      </c>
      <c r="M21" s="362">
        <f>'Table C-1'!M129+'Table C-1'!M121</f>
        <v>128522.62391338364</v>
      </c>
    </row>
    <row r="22" spans="2:13" ht="15">
      <c r="B22" s="181" t="s">
        <v>138</v>
      </c>
      <c r="C22" s="451" t="s">
        <v>151</v>
      </c>
      <c r="D22" s="451"/>
      <c r="E22" s="451"/>
      <c r="F22" s="451"/>
      <c r="G22" s="451"/>
      <c r="H22" s="358">
        <f>'Table C-1'!H122</f>
        <v>15064.48958571093</v>
      </c>
      <c r="I22" s="358">
        <f>'Table C-1'!I122</f>
        <v>15049.40300254966</v>
      </c>
      <c r="J22" s="358">
        <f>'Table C-1'!J122</f>
        <v>15009.40580183944</v>
      </c>
      <c r="K22" s="363">
        <f>'Table C-1'!K122</f>
        <v>15062.294785367103</v>
      </c>
      <c r="L22" s="363">
        <f>'Table C-1'!L122</f>
        <v>15050.785824667142</v>
      </c>
      <c r="M22" s="363">
        <f>'Table C-1'!M122</f>
        <v>15071.048763383615</v>
      </c>
    </row>
    <row r="23" spans="2:13" ht="15">
      <c r="B23" s="181" t="s">
        <v>139</v>
      </c>
      <c r="C23" s="451" t="s">
        <v>152</v>
      </c>
      <c r="D23" s="451"/>
      <c r="E23" s="451"/>
      <c r="F23" s="451"/>
      <c r="G23" s="451"/>
      <c r="H23" s="354">
        <f>'Table C-1'!H130+'Table C-1'!H122</f>
        <v>190716.0695857109</v>
      </c>
      <c r="I23" s="354">
        <f>'Table C-1'!I130+'Table C-1'!I122</f>
        <v>190700.98300254965</v>
      </c>
      <c r="J23" s="354">
        <f>'Table C-1'!J130+'Table C-1'!J122</f>
        <v>162660.98580183942</v>
      </c>
      <c r="K23" s="363">
        <f>'Table C-1'!K130+'Table C-1'!K122</f>
        <v>165513.87478536708</v>
      </c>
      <c r="L23" s="363">
        <f>'Table C-1'!L130+'Table C-1'!L122</f>
        <v>166102.36582466713</v>
      </c>
      <c r="M23" s="363">
        <f>'Table C-1'!M130+'Table C-1'!M122</f>
        <v>166622.6287633836</v>
      </c>
    </row>
    <row r="24" spans="2:13" ht="15.75" customHeight="1">
      <c r="B24" s="181"/>
      <c r="C24" s="433" t="s">
        <v>378</v>
      </c>
      <c r="D24" s="449"/>
      <c r="E24" s="449"/>
      <c r="F24" s="449"/>
      <c r="G24" s="449"/>
      <c r="H24" s="450"/>
      <c r="I24" s="450"/>
      <c r="J24" s="262"/>
      <c r="K24" s="106"/>
      <c r="L24" s="106"/>
      <c r="M24" s="106"/>
    </row>
    <row r="25" spans="2:13" ht="15" customHeight="1" hidden="1">
      <c r="B25" s="1"/>
      <c r="C25" s="30"/>
      <c r="D25" s="1"/>
      <c r="E25" s="1"/>
      <c r="F25" s="1"/>
      <c r="G25" s="1"/>
      <c r="H25" s="1"/>
      <c r="I25" s="1"/>
      <c r="J25" s="1"/>
      <c r="K25" s="1"/>
      <c r="L25" s="1"/>
      <c r="M25" s="1"/>
    </row>
    <row r="26" spans="2:13" ht="15">
      <c r="B26" s="7"/>
      <c r="C26" s="31" t="s">
        <v>54</v>
      </c>
      <c r="D26" s="7"/>
      <c r="E26" s="7"/>
      <c r="F26" s="7"/>
      <c r="G26" s="7"/>
      <c r="H26" s="7"/>
      <c r="I26" s="7"/>
      <c r="J26" s="7"/>
      <c r="K26" s="7"/>
      <c r="L26" s="7"/>
      <c r="M26" s="7"/>
    </row>
    <row r="27" spans="2:13" ht="15" hidden="1">
      <c r="B27" s="137">
        <v>6</v>
      </c>
      <c r="C27" s="352" t="s">
        <v>285</v>
      </c>
      <c r="D27" s="125"/>
      <c r="E27" s="125"/>
      <c r="F27" s="125"/>
      <c r="G27" s="125"/>
      <c r="H27" s="364">
        <f>'Table C-1'!H80</f>
        <v>1.2000256434148908</v>
      </c>
      <c r="I27" s="364">
        <f>'Table C-1'!I80</f>
        <v>1.2000105929820235</v>
      </c>
      <c r="J27" s="364">
        <f>'Table C-1'!J80</f>
        <v>1.2004381502933454</v>
      </c>
      <c r="K27" s="364">
        <f>'Table C-1'!K80</f>
        <v>1.2002183552486254</v>
      </c>
      <c r="L27" s="364">
        <f>'Table C-1'!L80</f>
        <v>1.2002643057883202</v>
      </c>
      <c r="M27" s="364">
        <f>'Table C-1'!M80</f>
        <v>1.2002717255091486</v>
      </c>
    </row>
    <row r="28" spans="2:13" ht="15">
      <c r="B28" s="181" t="s">
        <v>154</v>
      </c>
      <c r="C28" s="353" t="s">
        <v>285</v>
      </c>
      <c r="D28" s="40"/>
      <c r="E28" s="40"/>
      <c r="F28" s="40"/>
      <c r="G28" s="40"/>
      <c r="H28" s="60">
        <f>'Table C-1'!H81</f>
        <v>1.2073412020168266</v>
      </c>
      <c r="I28" s="60">
        <f>'Table C-1'!I81</f>
        <v>1.2044405080508165</v>
      </c>
      <c r="J28" s="60">
        <f>'Table C-1'!J81</f>
        <v>1.2044382754864205</v>
      </c>
      <c r="K28" s="60">
        <f>'Table C-1'!K81</f>
        <v>1.2212041274288352</v>
      </c>
      <c r="L28" s="60">
        <f>'Table C-1'!L81</f>
        <v>1.2170877166678293</v>
      </c>
      <c r="M28" s="60">
        <f>'Table C-1'!M81</f>
        <v>1.2149403516582535</v>
      </c>
    </row>
    <row r="29" spans="2:13" ht="15">
      <c r="B29" s="253" t="s">
        <v>232</v>
      </c>
      <c r="C29" s="350" t="s">
        <v>389</v>
      </c>
      <c r="D29" s="246"/>
      <c r="E29" s="246"/>
      <c r="F29" s="246"/>
      <c r="G29" s="246"/>
      <c r="H29" s="351" t="str">
        <f aca="true" t="shared" si="0" ref="H29:M29">IF(H27&gt;1.196,"YES","NO")</f>
        <v>YES</v>
      </c>
      <c r="I29" s="351" t="str">
        <f t="shared" si="0"/>
        <v>YES</v>
      </c>
      <c r="J29" s="351" t="str">
        <f t="shared" si="0"/>
        <v>YES</v>
      </c>
      <c r="K29" s="105" t="str">
        <f t="shared" si="0"/>
        <v>YES</v>
      </c>
      <c r="L29" s="105" t="str">
        <f t="shared" si="0"/>
        <v>YES</v>
      </c>
      <c r="M29" s="105" t="str">
        <f t="shared" si="0"/>
        <v>YES</v>
      </c>
    </row>
    <row r="30" spans="2:13" ht="15">
      <c r="B30" s="253" t="s">
        <v>388</v>
      </c>
      <c r="C30" s="350" t="s">
        <v>396</v>
      </c>
      <c r="D30" s="246"/>
      <c r="E30" s="246"/>
      <c r="F30" s="246"/>
      <c r="G30" s="246"/>
      <c r="H30" s="351" t="str">
        <f aca="true" t="shared" si="1" ref="H30:M30">IF(H28&gt;1.296,"YES","NO")</f>
        <v>NO</v>
      </c>
      <c r="I30" s="351" t="str">
        <f t="shared" si="1"/>
        <v>NO</v>
      </c>
      <c r="J30" s="351" t="str">
        <f t="shared" si="1"/>
        <v>NO</v>
      </c>
      <c r="K30" s="105" t="str">
        <f t="shared" si="1"/>
        <v>NO</v>
      </c>
      <c r="L30" s="105" t="str">
        <f t="shared" si="1"/>
        <v>NO</v>
      </c>
      <c r="M30" s="105" t="str">
        <f t="shared" si="1"/>
        <v>NO</v>
      </c>
    </row>
    <row r="31" spans="2:13" ht="15" hidden="1">
      <c r="B31" s="137">
        <v>7</v>
      </c>
      <c r="C31" s="352" t="s">
        <v>286</v>
      </c>
      <c r="D31" s="125"/>
      <c r="E31" s="125"/>
      <c r="F31" s="125"/>
      <c r="G31" s="125"/>
      <c r="H31" s="364">
        <f>'Table C-1'!H91</f>
        <v>1.0441039168067359</v>
      </c>
      <c r="I31" s="364">
        <f>'Table C-1'!I91</f>
        <v>1.0362991205675058</v>
      </c>
      <c r="J31" s="364">
        <f>'Table C-1'!J91</f>
        <v>1.049940252572745</v>
      </c>
      <c r="K31" s="364">
        <f>'Table C-1'!K91</f>
        <v>1.0581763084440823</v>
      </c>
      <c r="L31" s="364">
        <f>'Table C-1'!L91</f>
        <v>1.0665626912636914</v>
      </c>
      <c r="M31" s="364">
        <f>'Table C-1'!M91</f>
        <v>1.074745720882155</v>
      </c>
    </row>
    <row r="32" spans="2:13" ht="15">
      <c r="B32" s="181" t="s">
        <v>155</v>
      </c>
      <c r="C32" s="353" t="s">
        <v>286</v>
      </c>
      <c r="D32" s="40"/>
      <c r="E32" s="40"/>
      <c r="F32" s="40"/>
      <c r="G32" s="40"/>
      <c r="H32" s="60">
        <f>'Table C-1'!H92</f>
        <v>1.050468950280666</v>
      </c>
      <c r="I32" s="60">
        <f>'Table C-1'!I92</f>
        <v>1.0369913152707158</v>
      </c>
      <c r="J32" s="60">
        <f>'Table C-1'!J92</f>
        <v>1.0531782926835898</v>
      </c>
      <c r="K32" s="60">
        <f>'Table C-1'!K92</f>
        <v>1.063486509269494</v>
      </c>
      <c r="L32" s="60">
        <f>'Table C-1'!L92</f>
        <v>1.0714854183712417</v>
      </c>
      <c r="M32" s="60">
        <f>'Table C-1'!M92</f>
        <v>1.0796105579755653</v>
      </c>
    </row>
    <row r="33" spans="2:13" ht="15">
      <c r="B33" s="253" t="s">
        <v>233</v>
      </c>
      <c r="C33" s="350" t="s">
        <v>390</v>
      </c>
      <c r="D33" s="246"/>
      <c r="E33" s="246"/>
      <c r="F33" s="246"/>
      <c r="G33" s="246"/>
      <c r="H33" s="351" t="str">
        <f aca="true" t="shared" si="2" ref="H33:M33">IF(H32&gt;1,"YES","NO")</f>
        <v>YES</v>
      </c>
      <c r="I33" s="351" t="str">
        <f t="shared" si="2"/>
        <v>YES</v>
      </c>
      <c r="J33" s="351" t="str">
        <f t="shared" si="2"/>
        <v>YES</v>
      </c>
      <c r="K33" s="105" t="str">
        <f t="shared" si="2"/>
        <v>YES</v>
      </c>
      <c r="L33" s="105" t="str">
        <f t="shared" si="2"/>
        <v>YES</v>
      </c>
      <c r="M33" s="105" t="str">
        <f t="shared" si="2"/>
        <v>YES</v>
      </c>
    </row>
    <row r="34" spans="2:13" ht="15">
      <c r="B34" s="7"/>
      <c r="C34" s="31" t="s">
        <v>55</v>
      </c>
      <c r="D34" s="7"/>
      <c r="E34" s="7"/>
      <c r="F34" s="7"/>
      <c r="G34" s="7"/>
      <c r="H34" s="7"/>
      <c r="I34" s="7"/>
      <c r="J34" s="7"/>
      <c r="K34" s="7"/>
      <c r="L34" s="7"/>
      <c r="M34" s="7"/>
    </row>
    <row r="35" spans="2:13" ht="15" hidden="1">
      <c r="B35" s="137">
        <v>8</v>
      </c>
      <c r="C35" s="387" t="s">
        <v>287</v>
      </c>
      <c r="D35" s="387"/>
      <c r="E35" s="387"/>
      <c r="F35" s="387"/>
      <c r="G35" s="387"/>
      <c r="H35" s="364">
        <f>-('Table C-1'!H57+'Table C-1'!H61+H84)/'Table C-1'!H78</f>
        <v>0.9762861292990062</v>
      </c>
      <c r="I35" s="364">
        <f>-('Table C-1'!I57+'Table C-1'!I61+I84)/'Table C-1'!I78</f>
        <v>1.1994741148270036</v>
      </c>
      <c r="J35" s="364">
        <f>-('Table C-1'!J57+'Table C-1'!J61+J84)/'Table C-1'!J78</f>
        <v>1.2004381502933454</v>
      </c>
      <c r="K35" s="364">
        <f>-('Table C-1'!K57+'Table C-1'!K61+K84)/'Table C-1'!K78</f>
        <v>1.2002183552486254</v>
      </c>
      <c r="L35" s="364">
        <f>-('Table C-1'!L57+'Table C-1'!L61+L84)/'Table C-1'!L78</f>
        <v>1.2002643057883202</v>
      </c>
      <c r="M35" s="364">
        <f>-('Table C-1'!M57+'Table C-1'!M61+M84)/'Table C-1'!M78</f>
        <v>1.2002717255091486</v>
      </c>
    </row>
    <row r="36" spans="2:13" ht="15">
      <c r="B36" s="181" t="s">
        <v>156</v>
      </c>
      <c r="C36" s="394" t="s">
        <v>287</v>
      </c>
      <c r="D36" s="394"/>
      <c r="E36" s="394"/>
      <c r="F36" s="394"/>
      <c r="G36" s="394"/>
      <c r="H36" s="60">
        <f>-('Table C-1'!H58+'Table C-1'!H62+H86)/'Table C-1'!H79</f>
        <v>1.2073412020168266</v>
      </c>
      <c r="I36" s="60">
        <f>-('Table C-1'!I58+'Table C-1'!I62+I86)/'Table C-1'!I79</f>
        <v>1.2044405080508165</v>
      </c>
      <c r="J36" s="60">
        <f>-('Table C-1'!J58+'Table C-1'!J62+J86)/'Table C-1'!J79</f>
        <v>1.0672277680915228</v>
      </c>
      <c r="K36" s="60">
        <f>-('Table C-1'!K58+'Table C-1'!K62+K86)/'Table C-1'!K79</f>
        <v>1.2212041274288352</v>
      </c>
      <c r="L36" s="60">
        <f>-('Table C-1'!L58+'Table C-1'!L62+L86)/'Table C-1'!L79</f>
        <v>1.2170877166678293</v>
      </c>
      <c r="M36" s="60">
        <f>-('Table C-1'!M58+'Table C-1'!M62+M86)/'Table C-1'!M79</f>
        <v>1.2149403516582535</v>
      </c>
    </row>
    <row r="37" spans="2:13" ht="15">
      <c r="B37" s="253" t="s">
        <v>234</v>
      </c>
      <c r="C37" s="259" t="s">
        <v>391</v>
      </c>
      <c r="D37" s="259"/>
      <c r="E37" s="259"/>
      <c r="F37" s="259"/>
      <c r="G37" s="259"/>
      <c r="H37" s="351" t="str">
        <f aca="true" t="shared" si="3" ref="H37:M37">IF(H36&gt;0.9,"YES","NO")</f>
        <v>YES</v>
      </c>
      <c r="I37" s="351" t="str">
        <f t="shared" si="3"/>
        <v>YES</v>
      </c>
      <c r="J37" s="351" t="str">
        <f t="shared" si="3"/>
        <v>YES</v>
      </c>
      <c r="K37" s="105" t="str">
        <f t="shared" si="3"/>
        <v>YES</v>
      </c>
      <c r="L37" s="105" t="str">
        <f t="shared" si="3"/>
        <v>YES</v>
      </c>
      <c r="M37" s="105" t="str">
        <f t="shared" si="3"/>
        <v>YES</v>
      </c>
    </row>
    <row r="38" spans="2:13" s="3" customFormat="1" ht="15" hidden="1">
      <c r="B38" s="143"/>
      <c r="C38" s="126"/>
      <c r="D38" s="126"/>
      <c r="E38" s="126"/>
      <c r="F38" s="126"/>
      <c r="G38" s="126"/>
      <c r="H38" s="127"/>
      <c r="I38" s="127"/>
      <c r="J38" s="127"/>
      <c r="K38" s="127"/>
      <c r="L38" s="127"/>
      <c r="M38" s="127"/>
    </row>
    <row r="39" spans="2:13" s="3" customFormat="1" ht="15" hidden="1">
      <c r="B39" s="423" t="s">
        <v>402</v>
      </c>
      <c r="C39" s="423"/>
      <c r="D39" s="423"/>
      <c r="E39" s="423"/>
      <c r="F39" s="423"/>
      <c r="G39" s="423"/>
      <c r="H39" s="423"/>
      <c r="I39" s="423"/>
      <c r="J39" s="423"/>
      <c r="K39" s="423"/>
      <c r="L39" s="423"/>
      <c r="M39" s="423"/>
    </row>
    <row r="40" spans="2:13" s="3" customFormat="1" ht="15" hidden="1">
      <c r="B40" s="423"/>
      <c r="C40" s="423"/>
      <c r="D40" s="423"/>
      <c r="E40" s="423"/>
      <c r="F40" s="423"/>
      <c r="G40" s="423"/>
      <c r="H40" s="423"/>
      <c r="I40" s="423"/>
      <c r="J40" s="423"/>
      <c r="K40" s="423"/>
      <c r="L40" s="423"/>
      <c r="M40" s="423"/>
    </row>
    <row r="41" spans="2:13" s="3" customFormat="1" ht="15" hidden="1">
      <c r="B41" s="423"/>
      <c r="C41" s="423"/>
      <c r="D41" s="423"/>
      <c r="E41" s="423"/>
      <c r="F41" s="423"/>
      <c r="G41" s="423"/>
      <c r="H41" s="423"/>
      <c r="I41" s="423"/>
      <c r="J41" s="423"/>
      <c r="K41" s="423"/>
      <c r="L41" s="423"/>
      <c r="M41" s="423"/>
    </row>
    <row r="42" spans="2:13" s="3" customFormat="1" ht="15" hidden="1">
      <c r="B42" s="423"/>
      <c r="C42" s="423"/>
      <c r="D42" s="423"/>
      <c r="E42" s="423"/>
      <c r="F42" s="423"/>
      <c r="G42" s="423"/>
      <c r="H42" s="423"/>
      <c r="I42" s="423"/>
      <c r="J42" s="423"/>
      <c r="K42" s="423"/>
      <c r="L42" s="423"/>
      <c r="M42" s="423"/>
    </row>
    <row r="43" spans="2:13" s="3" customFormat="1" ht="15" hidden="1">
      <c r="B43" s="423"/>
      <c r="C43" s="423"/>
      <c r="D43" s="423"/>
      <c r="E43" s="423"/>
      <c r="F43" s="423"/>
      <c r="G43" s="423"/>
      <c r="H43" s="423"/>
      <c r="I43" s="423"/>
      <c r="J43" s="423"/>
      <c r="K43" s="423"/>
      <c r="L43" s="423"/>
      <c r="M43" s="423"/>
    </row>
    <row r="44" spans="2:13" s="3" customFormat="1" ht="15" hidden="1">
      <c r="B44" s="423"/>
      <c r="C44" s="423"/>
      <c r="D44" s="423"/>
      <c r="E44" s="423"/>
      <c r="F44" s="423"/>
      <c r="G44" s="423"/>
      <c r="H44" s="423"/>
      <c r="I44" s="423"/>
      <c r="J44" s="423"/>
      <c r="K44" s="423"/>
      <c r="L44" s="423"/>
      <c r="M44" s="423"/>
    </row>
    <row r="45" spans="2:13" ht="15">
      <c r="B45" s="7"/>
      <c r="C45" s="31" t="s">
        <v>289</v>
      </c>
      <c r="D45" s="7"/>
      <c r="E45" s="7"/>
      <c r="F45" s="7"/>
      <c r="G45" s="7"/>
      <c r="H45" s="7"/>
      <c r="I45" s="7"/>
      <c r="J45" s="7"/>
      <c r="K45" s="7"/>
      <c r="L45" s="7"/>
      <c r="M45" s="7"/>
    </row>
    <row r="46" spans="2:13" s="237" customFormat="1" ht="15">
      <c r="B46" s="365">
        <v>9</v>
      </c>
      <c r="C46" s="259" t="s">
        <v>298</v>
      </c>
      <c r="D46" s="246"/>
      <c r="E46" s="246"/>
      <c r="F46" s="246"/>
      <c r="G46" s="246"/>
      <c r="H46" s="253">
        <v>604361.0696143851</v>
      </c>
      <c r="I46" s="253">
        <v>621836.676623275</v>
      </c>
      <c r="J46" s="253">
        <v>637910.0527388781</v>
      </c>
      <c r="K46" s="253">
        <v>653594.7047605868</v>
      </c>
      <c r="L46" s="253">
        <v>669589.2953457404</v>
      </c>
      <c r="M46" s="253">
        <v>686195.0964241817</v>
      </c>
    </row>
    <row r="47" spans="2:13" s="237" customFormat="1" ht="15">
      <c r="B47" s="365">
        <v>10</v>
      </c>
      <c r="C47" s="386" t="s">
        <v>289</v>
      </c>
      <c r="D47" s="386"/>
      <c r="E47" s="386"/>
      <c r="F47" s="386"/>
      <c r="G47" s="386"/>
      <c r="H47" s="366">
        <f>'Table C-6 O&amp;M Expense'!G55/'C-2 Summary'!H46</f>
        <v>0.8700832770971119</v>
      </c>
      <c r="I47" s="366">
        <f>'Table C-6 O&amp;M Expense'!H55/'C-2 Summary'!I46</f>
        <v>0.8746154745219207</v>
      </c>
      <c r="J47" s="366">
        <f>'Table C-6 O&amp;M Expense'!I55/'C-2 Summary'!J46</f>
        <v>0.8747455814564742</v>
      </c>
      <c r="K47" s="366">
        <f>'Table C-6 O&amp;M Expense'!J55/'C-2 Summary'!K46</f>
        <v>0.8757066203736391</v>
      </c>
      <c r="L47" s="366">
        <f>'Table C-6 O&amp;M Expense'!K55/'C-2 Summary'!L46</f>
        <v>0.8766534562009469</v>
      </c>
      <c r="M47" s="366">
        <f>'Table C-6 O&amp;M Expense'!L55/'C-2 Summary'!M46</f>
        <v>0.8776253912891957</v>
      </c>
    </row>
    <row r="48" spans="2:13" ht="15">
      <c r="B48" s="7"/>
      <c r="C48" s="31" t="s">
        <v>297</v>
      </c>
      <c r="D48" s="7"/>
      <c r="E48" s="7"/>
      <c r="F48" s="7"/>
      <c r="G48" s="7"/>
      <c r="H48" s="7"/>
      <c r="I48" s="7"/>
      <c r="J48" s="7"/>
      <c r="K48" s="7"/>
      <c r="L48" s="7"/>
      <c r="M48" s="7"/>
    </row>
    <row r="49" spans="2:13" s="237" customFormat="1" ht="15">
      <c r="B49" s="365">
        <v>11</v>
      </c>
      <c r="C49" s="259" t="s">
        <v>300</v>
      </c>
      <c r="D49" s="246"/>
      <c r="E49" s="246"/>
      <c r="F49" s="246"/>
      <c r="G49" s="246"/>
      <c r="H49" s="253">
        <f>'Table C-1'!H57</f>
        <v>707802.1787902645</v>
      </c>
      <c r="I49" s="253">
        <f>'Table C-1'!I57</f>
        <v>767451.010101667</v>
      </c>
      <c r="J49" s="253">
        <f>'Table C-1'!J57</f>
        <v>819625.5045507859</v>
      </c>
      <c r="K49" s="253">
        <f>'Table C-1'!K57</f>
        <v>869880.6340803122</v>
      </c>
      <c r="L49" s="253">
        <f>'Table C-1'!L57</f>
        <v>921504.8076847236</v>
      </c>
      <c r="M49" s="253">
        <f>'Table C-1'!M57</f>
        <v>981894.1948880081</v>
      </c>
    </row>
    <row r="50" spans="2:13" s="237" customFormat="1" ht="15">
      <c r="B50" s="365">
        <v>12</v>
      </c>
      <c r="C50" s="386" t="s">
        <v>299</v>
      </c>
      <c r="D50" s="386"/>
      <c r="E50" s="386"/>
      <c r="F50" s="386"/>
      <c r="G50" s="386"/>
      <c r="H50" s="253">
        <v>828018.7926999035</v>
      </c>
      <c r="I50" s="253">
        <v>845519.7057522305</v>
      </c>
      <c r="J50" s="253">
        <v>899526.5527351612</v>
      </c>
      <c r="K50" s="253">
        <v>951118.1236070704</v>
      </c>
      <c r="L50" s="253">
        <v>1004096.3332922276</v>
      </c>
      <c r="M50" s="253">
        <v>1065867.0513279692</v>
      </c>
    </row>
    <row r="51" spans="2:13" ht="15">
      <c r="B51" s="253">
        <v>13</v>
      </c>
      <c r="C51" s="259" t="s">
        <v>392</v>
      </c>
      <c r="D51" s="259"/>
      <c r="E51" s="259"/>
      <c r="F51" s="259"/>
      <c r="G51" s="259"/>
      <c r="H51" s="351" t="str">
        <f aca="true" t="shared" si="4" ref="H51:M51">IF(H49&lt;H50,"YES","NO")</f>
        <v>YES</v>
      </c>
      <c r="I51" s="351" t="str">
        <f t="shared" si="4"/>
        <v>YES</v>
      </c>
      <c r="J51" s="351" t="str">
        <f t="shared" si="4"/>
        <v>YES</v>
      </c>
      <c r="K51" s="105" t="str">
        <f t="shared" si="4"/>
        <v>YES</v>
      </c>
      <c r="L51" s="105" t="str">
        <f t="shared" si="4"/>
        <v>YES</v>
      </c>
      <c r="M51" s="105" t="str">
        <f t="shared" si="4"/>
        <v>YES</v>
      </c>
    </row>
    <row r="52" spans="2:13" ht="15">
      <c r="B52" s="7"/>
      <c r="C52" s="31" t="s">
        <v>56</v>
      </c>
      <c r="D52" s="7"/>
      <c r="E52" s="7"/>
      <c r="F52" s="7"/>
      <c r="G52" s="7"/>
      <c r="H52" s="7"/>
      <c r="I52" s="7"/>
      <c r="J52" s="7"/>
      <c r="K52" s="7"/>
      <c r="L52" s="7"/>
      <c r="M52" s="7"/>
    </row>
    <row r="53" spans="2:13" ht="15" hidden="1">
      <c r="B53" s="355">
        <v>14</v>
      </c>
      <c r="C53" s="138" t="s">
        <v>288</v>
      </c>
      <c r="D53" s="125"/>
      <c r="E53" s="125"/>
      <c r="F53" s="125"/>
      <c r="G53" s="125"/>
      <c r="H53" s="137">
        <f>'C-7,8,9 CIP - Debt Service'!H105+'C-7,8,9 CIP - Debt Service'!H107</f>
        <v>38632.759999999995</v>
      </c>
      <c r="I53" s="137">
        <f>'C-7,8,9 CIP - Debt Service'!I105+'C-7,8,9 CIP - Debt Service'!I107</f>
        <v>37447.06008</v>
      </c>
      <c r="J53" s="137">
        <f>'C-7,8,9 CIP - Debt Service'!J105+'C-7,8,9 CIP - Debt Service'!J107</f>
        <v>43754.989564640004</v>
      </c>
      <c r="K53" s="137">
        <f>'C-7,8,9 CIP - Debt Service'!K105+'C-7,8,9 CIP - Debt Service'!K107</f>
        <v>49261.978959389126</v>
      </c>
      <c r="L53" s="137">
        <f>'C-7,8,9 CIP - Debt Service'!L105+'C-7,8,9 CIP - Debt Service'!L107</f>
        <v>55873.7737390337</v>
      </c>
      <c r="M53" s="137">
        <f>'C-7,8,9 CIP - Debt Service'!M105+'C-7,8,9 CIP - Debt Service'!M107</f>
        <v>63396.45261589765</v>
      </c>
    </row>
    <row r="54" spans="2:13" ht="15" hidden="1">
      <c r="B54" s="355">
        <v>15</v>
      </c>
      <c r="C54" s="387" t="s">
        <v>116</v>
      </c>
      <c r="D54" s="387"/>
      <c r="E54" s="387"/>
      <c r="F54" s="387"/>
      <c r="G54" s="387"/>
      <c r="H54" s="137">
        <f>'C-7,8,9 CIP - Debt Service'!H114</f>
        <v>324964.4342222222</v>
      </c>
      <c r="I54" s="137">
        <f>'C-7,8,9 CIP - Debt Service'!I114</f>
        <v>345302.6666666666</v>
      </c>
      <c r="J54" s="137">
        <f>'C-7,8,9 CIP - Debt Service'!J114</f>
        <v>426729.8933333333</v>
      </c>
      <c r="K54" s="137">
        <f>'C-7,8,9 CIP - Debt Service'!K114</f>
        <v>535537.5228500001</v>
      </c>
      <c r="L54" s="137">
        <f>'C-7,8,9 CIP - Debt Service'!L114</f>
        <v>545259.733513</v>
      </c>
      <c r="M54" s="137">
        <f>'C-7,8,9 CIP - Debt Service'!M114</f>
        <v>562221.8805498667</v>
      </c>
    </row>
    <row r="55" spans="2:13" ht="15" hidden="1">
      <c r="B55" s="137">
        <v>16</v>
      </c>
      <c r="C55" s="138" t="s">
        <v>192</v>
      </c>
      <c r="D55" s="125"/>
      <c r="E55" s="125"/>
      <c r="F55" s="125"/>
      <c r="G55" s="125"/>
      <c r="H55" s="367">
        <f aca="true" t="shared" si="5" ref="H55:M55">H53/H54</f>
        <v>0.11888304051630938</v>
      </c>
      <c r="I55" s="367">
        <f t="shared" si="5"/>
        <v>0.10844706309826743</v>
      </c>
      <c r="J55" s="367">
        <f t="shared" si="5"/>
        <v>0.10253556230348616</v>
      </c>
      <c r="K55" s="367">
        <f t="shared" si="5"/>
        <v>0.09198604552903948</v>
      </c>
      <c r="L55" s="367">
        <f t="shared" si="5"/>
        <v>0.10247185021173322</v>
      </c>
      <c r="M55" s="367">
        <f t="shared" si="5"/>
        <v>0.1127605573690842</v>
      </c>
    </row>
    <row r="56" spans="2:13" ht="15">
      <c r="B56" s="181" t="s">
        <v>150</v>
      </c>
      <c r="C56" s="68" t="s">
        <v>288</v>
      </c>
      <c r="D56" s="40"/>
      <c r="E56" s="40"/>
      <c r="F56" s="40"/>
      <c r="G56" s="40"/>
      <c r="H56" s="181">
        <f>'C-7,8,9 CIP - Debt Service'!H106+'C-7,8,9 CIP - Debt Service'!H108</f>
        <v>38632.759999999995</v>
      </c>
      <c r="I56" s="181">
        <f>'C-7,8,9 CIP - Debt Service'!I106+'C-7,8,9 CIP - Debt Service'!I108</f>
        <v>37447.06008</v>
      </c>
      <c r="J56" s="181">
        <f>'C-7,8,9 CIP - Debt Service'!J106+'C-7,8,9 CIP - Debt Service'!J108</f>
        <v>41908.44713022898</v>
      </c>
      <c r="K56" s="181">
        <f>'C-7,8,9 CIP - Debt Service'!K106+'C-7,8,9 CIP - Debt Service'!K108</f>
        <v>49261.978959389126</v>
      </c>
      <c r="L56" s="181">
        <f>'C-7,8,9 CIP - Debt Service'!L106+'C-7,8,9 CIP - Debt Service'!L108</f>
        <v>55873.7737390337</v>
      </c>
      <c r="M56" s="181">
        <f>'C-7,8,9 CIP - Debt Service'!M106+'C-7,8,9 CIP - Debt Service'!M108</f>
        <v>63396.45261589765</v>
      </c>
    </row>
    <row r="57" spans="2:13" ht="15">
      <c r="B57" s="181" t="s">
        <v>146</v>
      </c>
      <c r="C57" s="394" t="s">
        <v>116</v>
      </c>
      <c r="D57" s="394"/>
      <c r="E57" s="394"/>
      <c r="F57" s="394"/>
      <c r="G57" s="394"/>
      <c r="H57" s="181">
        <f>'C-7,8,9 CIP - Debt Service'!H115</f>
        <v>324964.4342222222</v>
      </c>
      <c r="I57" s="181">
        <f>'C-7,8,9 CIP - Debt Service'!I115</f>
        <v>345302.6666666666</v>
      </c>
      <c r="J57" s="181">
        <f>'C-7,8,9 CIP - Debt Service'!J115</f>
        <v>408721.0933333333</v>
      </c>
      <c r="K57" s="181">
        <f>'C-7,8,9 CIP - Debt Service'!K115</f>
        <v>535537.5228500001</v>
      </c>
      <c r="L57" s="181">
        <f>'C-7,8,9 CIP - Debt Service'!L115</f>
        <v>545259.733513</v>
      </c>
      <c r="M57" s="181">
        <f>'C-7,8,9 CIP - Debt Service'!M115</f>
        <v>562221.8805498667</v>
      </c>
    </row>
    <row r="58" spans="2:13" ht="15">
      <c r="B58" s="181" t="s">
        <v>145</v>
      </c>
      <c r="C58" s="68" t="s">
        <v>192</v>
      </c>
      <c r="D58" s="40"/>
      <c r="E58" s="40"/>
      <c r="F58" s="40"/>
      <c r="G58" s="40"/>
      <c r="H58" s="88">
        <f aca="true" t="shared" si="6" ref="H58:M58">H56/H57</f>
        <v>0.11888304051630938</v>
      </c>
      <c r="I58" s="88">
        <f t="shared" si="6"/>
        <v>0.10844706309826743</v>
      </c>
      <c r="J58" s="88">
        <f t="shared" si="6"/>
        <v>0.10253556230348616</v>
      </c>
      <c r="K58" s="88">
        <f t="shared" si="6"/>
        <v>0.09198604552903948</v>
      </c>
      <c r="L58" s="88">
        <f t="shared" si="6"/>
        <v>0.10247185021173322</v>
      </c>
      <c r="M58" s="88">
        <f t="shared" si="6"/>
        <v>0.1127605573690842</v>
      </c>
    </row>
    <row r="59" spans="2:13" ht="15">
      <c r="B59" s="1"/>
      <c r="C59" s="30"/>
      <c r="D59" s="1"/>
      <c r="E59" s="1"/>
      <c r="F59" s="1"/>
      <c r="G59" s="1"/>
      <c r="H59" s="1"/>
      <c r="I59" s="1"/>
      <c r="J59" s="1"/>
      <c r="K59" s="1"/>
      <c r="L59" s="1"/>
      <c r="M59" s="1"/>
    </row>
    <row r="60" spans="2:13" s="3" customFormat="1" ht="15">
      <c r="B60" s="452" t="s">
        <v>404</v>
      </c>
      <c r="C60" s="452"/>
      <c r="D60" s="452"/>
      <c r="E60" s="452"/>
      <c r="F60" s="452"/>
      <c r="G60" s="452"/>
      <c r="H60" s="452"/>
      <c r="I60" s="452"/>
      <c r="J60" s="452"/>
      <c r="K60" s="452"/>
      <c r="L60" s="452"/>
      <c r="M60" s="452"/>
    </row>
    <row r="61" spans="2:13" s="3" customFormat="1" ht="15" hidden="1">
      <c r="B61" s="423" t="s">
        <v>402</v>
      </c>
      <c r="C61" s="423"/>
      <c r="D61" s="423"/>
      <c r="E61" s="423"/>
      <c r="F61" s="423"/>
      <c r="G61" s="423"/>
      <c r="H61" s="423"/>
      <c r="I61" s="423"/>
      <c r="J61" s="423"/>
      <c r="K61" s="423"/>
      <c r="L61" s="423"/>
      <c r="M61" s="423"/>
    </row>
    <row r="62" spans="2:13" s="3" customFormat="1" ht="15" hidden="1">
      <c r="B62" s="423"/>
      <c r="C62" s="423"/>
      <c r="D62" s="423"/>
      <c r="E62" s="423"/>
      <c r="F62" s="423"/>
      <c r="G62" s="423"/>
      <c r="H62" s="423"/>
      <c r="I62" s="423"/>
      <c r="J62" s="423"/>
      <c r="K62" s="423"/>
      <c r="L62" s="423"/>
      <c r="M62" s="423"/>
    </row>
    <row r="63" spans="2:13" s="3" customFormat="1" ht="15" hidden="1">
      <c r="B63" s="423"/>
      <c r="C63" s="423"/>
      <c r="D63" s="423"/>
      <c r="E63" s="423"/>
      <c r="F63" s="423"/>
      <c r="G63" s="423"/>
      <c r="H63" s="423"/>
      <c r="I63" s="423"/>
      <c r="J63" s="423"/>
      <c r="K63" s="423"/>
      <c r="L63" s="423"/>
      <c r="M63" s="423"/>
    </row>
    <row r="64" spans="2:13" s="3" customFormat="1" ht="15" hidden="1">
      <c r="B64" s="423"/>
      <c r="C64" s="423"/>
      <c r="D64" s="423"/>
      <c r="E64" s="423"/>
      <c r="F64" s="423"/>
      <c r="G64" s="423"/>
      <c r="H64" s="423"/>
      <c r="I64" s="423"/>
      <c r="J64" s="423"/>
      <c r="K64" s="423"/>
      <c r="L64" s="423"/>
      <c r="M64" s="423"/>
    </row>
    <row r="65" spans="2:13" s="3" customFormat="1" ht="15" hidden="1">
      <c r="B65" s="423"/>
      <c r="C65" s="423"/>
      <c r="D65" s="423"/>
      <c r="E65" s="423"/>
      <c r="F65" s="423"/>
      <c r="G65" s="423"/>
      <c r="H65" s="423"/>
      <c r="I65" s="423"/>
      <c r="J65" s="423"/>
      <c r="K65" s="423"/>
      <c r="L65" s="423"/>
      <c r="M65" s="423"/>
    </row>
    <row r="66" spans="2:13" s="3" customFormat="1" ht="15" hidden="1">
      <c r="B66" s="423"/>
      <c r="C66" s="423"/>
      <c r="D66" s="423"/>
      <c r="E66" s="423"/>
      <c r="F66" s="423"/>
      <c r="G66" s="423"/>
      <c r="H66" s="423"/>
      <c r="I66" s="423"/>
      <c r="J66" s="423"/>
      <c r="K66" s="423"/>
      <c r="L66" s="423"/>
      <c r="M66" s="423"/>
    </row>
    <row r="67" spans="2:13" ht="15">
      <c r="B67" s="27"/>
      <c r="C67" s="28"/>
      <c r="D67" s="28"/>
      <c r="E67" s="28"/>
      <c r="F67" s="28"/>
      <c r="G67" s="28"/>
      <c r="H67" s="29"/>
      <c r="I67" s="29"/>
      <c r="J67" s="29"/>
      <c r="K67" s="29"/>
      <c r="L67" s="29"/>
      <c r="M67" s="29"/>
    </row>
    <row r="68" spans="2:13" ht="15">
      <c r="B68" s="26"/>
      <c r="C68" s="368" t="s">
        <v>245</v>
      </c>
      <c r="D68" s="26"/>
      <c r="E68" s="26"/>
      <c r="F68" s="26"/>
      <c r="G68" s="26"/>
      <c r="H68" s="26"/>
      <c r="I68" s="26"/>
      <c r="J68" s="26"/>
      <c r="K68" s="26"/>
      <c r="L68" s="120"/>
      <c r="M68" s="120"/>
    </row>
    <row r="69" spans="2:13" ht="15.75" customHeight="1">
      <c r="B69" s="26"/>
      <c r="C69" s="455" t="s">
        <v>290</v>
      </c>
      <c r="D69" s="455"/>
      <c r="E69" s="455"/>
      <c r="F69" s="455"/>
      <c r="G69" s="455"/>
      <c r="H69" s="455"/>
      <c r="I69" s="455"/>
      <c r="J69" s="455"/>
      <c r="K69" s="455"/>
      <c r="L69" s="455"/>
      <c r="M69" s="455"/>
    </row>
    <row r="70" spans="2:13" ht="15.75" customHeight="1">
      <c r="B70" s="26"/>
      <c r="C70" s="369" t="s">
        <v>377</v>
      </c>
      <c r="D70" s="264"/>
      <c r="E70" s="162"/>
      <c r="F70" s="162"/>
      <c r="G70" s="162"/>
      <c r="H70" s="162"/>
      <c r="I70" s="26"/>
      <c r="J70" s="26"/>
      <c r="K70" s="26"/>
      <c r="L70" s="120"/>
      <c r="M70" s="120"/>
    </row>
    <row r="71" spans="2:13" ht="30.75" customHeight="1">
      <c r="B71" s="26"/>
      <c r="C71" s="456" t="s">
        <v>380</v>
      </c>
      <c r="D71" s="456"/>
      <c r="E71" s="456"/>
      <c r="F71" s="456"/>
      <c r="G71" s="456"/>
      <c r="H71" s="456"/>
      <c r="I71" s="456"/>
      <c r="J71" s="456"/>
      <c r="K71" s="456"/>
      <c r="L71" s="456"/>
      <c r="M71" s="456"/>
    </row>
    <row r="72" spans="2:13" ht="30" customHeight="1">
      <c r="B72" s="26"/>
      <c r="C72" s="456" t="s">
        <v>291</v>
      </c>
      <c r="D72" s="456"/>
      <c r="E72" s="456"/>
      <c r="F72" s="456"/>
      <c r="G72" s="456"/>
      <c r="H72" s="456"/>
      <c r="I72" s="456"/>
      <c r="J72" s="456"/>
      <c r="K72" s="456"/>
      <c r="L72" s="456"/>
      <c r="M72" s="456"/>
    </row>
    <row r="73" spans="2:13" ht="36" customHeight="1">
      <c r="B73" s="26"/>
      <c r="C73" s="453" t="s">
        <v>292</v>
      </c>
      <c r="D73" s="453"/>
      <c r="E73" s="453"/>
      <c r="F73" s="453"/>
      <c r="G73" s="453"/>
      <c r="H73" s="453"/>
      <c r="I73" s="453"/>
      <c r="J73" s="453"/>
      <c r="K73" s="453"/>
      <c r="L73" s="453"/>
      <c r="M73" s="453"/>
    </row>
    <row r="74" spans="2:13" ht="15.75" customHeight="1">
      <c r="B74" s="3"/>
      <c r="C74" s="448" t="s">
        <v>386</v>
      </c>
      <c r="D74" s="448"/>
      <c r="E74" s="448"/>
      <c r="F74" s="448"/>
      <c r="G74" s="448"/>
      <c r="H74" s="448"/>
      <c r="I74" s="448"/>
      <c r="J74" s="448"/>
      <c r="K74" s="448"/>
      <c r="L74" s="448"/>
      <c r="M74" s="448"/>
    </row>
    <row r="75" spans="2:11" ht="15.75" customHeight="1">
      <c r="B75" s="3"/>
      <c r="C75" s="459" t="s">
        <v>293</v>
      </c>
      <c r="D75" s="459"/>
      <c r="E75" s="459"/>
      <c r="F75" s="459"/>
      <c r="G75" s="459"/>
      <c r="H75" s="459"/>
      <c r="I75" s="459"/>
      <c r="J75" s="459"/>
      <c r="K75" s="459"/>
    </row>
    <row r="76" spans="2:13" ht="30.75" customHeight="1">
      <c r="B76" s="3"/>
      <c r="C76" s="448" t="s">
        <v>385</v>
      </c>
      <c r="D76" s="448"/>
      <c r="E76" s="448"/>
      <c r="F76" s="448"/>
      <c r="G76" s="448"/>
      <c r="H76" s="448"/>
      <c r="I76" s="448"/>
      <c r="J76" s="448"/>
      <c r="K76" s="448"/>
      <c r="L76" s="448"/>
      <c r="M76" s="448"/>
    </row>
    <row r="77" spans="2:11" ht="15.75" customHeight="1">
      <c r="B77" s="3"/>
      <c r="C77" s="459" t="s">
        <v>294</v>
      </c>
      <c r="D77" s="459"/>
      <c r="E77" s="459"/>
      <c r="F77" s="459"/>
      <c r="G77" s="459"/>
      <c r="H77" s="459"/>
      <c r="I77" s="459"/>
      <c r="J77" s="459"/>
      <c r="K77" s="459"/>
    </row>
    <row r="78" spans="3:13" ht="15.75" customHeight="1">
      <c r="C78" s="459" t="s">
        <v>295</v>
      </c>
      <c r="D78" s="459"/>
      <c r="E78" s="459"/>
      <c r="F78" s="459"/>
      <c r="G78" s="459"/>
      <c r="H78" s="459"/>
      <c r="I78" s="459"/>
      <c r="J78" s="459"/>
      <c r="K78" s="459"/>
      <c r="L78" s="459"/>
      <c r="M78" s="459"/>
    </row>
    <row r="79" spans="3:13" ht="15.75" customHeight="1">
      <c r="C79" s="460" t="s">
        <v>296</v>
      </c>
      <c r="D79" s="460"/>
      <c r="E79" s="460"/>
      <c r="F79" s="460"/>
      <c r="G79" s="460"/>
      <c r="H79" s="460"/>
      <c r="I79" s="460"/>
      <c r="J79" s="460"/>
      <c r="K79" s="460"/>
      <c r="L79" s="460"/>
      <c r="M79" s="460"/>
    </row>
    <row r="81" ht="15">
      <c r="C81" s="109" t="s">
        <v>382</v>
      </c>
    </row>
    <row r="82" spans="8:13" ht="17.25">
      <c r="H82" s="235" t="s">
        <v>427</v>
      </c>
      <c r="I82" s="235" t="s">
        <v>426</v>
      </c>
      <c r="J82" s="235" t="s">
        <v>425</v>
      </c>
      <c r="K82" s="33">
        <f>J82+1</f>
        <v>2024</v>
      </c>
      <c r="L82" s="33">
        <f>K82+1</f>
        <v>2025</v>
      </c>
      <c r="M82" s="107">
        <f>L82+1</f>
        <v>2026</v>
      </c>
    </row>
    <row r="83" spans="7:13" ht="15">
      <c r="G83" s="110" t="s">
        <v>383</v>
      </c>
      <c r="H83" s="370">
        <f>'Table C-1'!H64</f>
        <v>41700</v>
      </c>
      <c r="I83" s="370">
        <f>'Table C-1'!I64</f>
        <v>100</v>
      </c>
      <c r="J83" s="370">
        <f>'Table C-1'!J64</f>
        <v>-700</v>
      </c>
      <c r="K83" s="111">
        <f>'Table C-1'!K64</f>
        <v>-2800</v>
      </c>
      <c r="L83" s="111">
        <f>'Table C-1'!L64</f>
        <v>-600</v>
      </c>
      <c r="M83" s="111">
        <f>'Table C-1'!M64</f>
        <v>-500</v>
      </c>
    </row>
    <row r="84" spans="7:13" ht="15">
      <c r="G84" s="110" t="s">
        <v>384</v>
      </c>
      <c r="H84" s="371">
        <f aca="true" t="shared" si="7" ref="H84:M84">IF(H83&gt;0,0,H83)</f>
        <v>0</v>
      </c>
      <c r="I84" s="371">
        <f t="shared" si="7"/>
        <v>0</v>
      </c>
      <c r="J84" s="371">
        <f t="shared" si="7"/>
        <v>-700</v>
      </c>
      <c r="K84" s="111">
        <f t="shared" si="7"/>
        <v>-2800</v>
      </c>
      <c r="L84" s="111">
        <f t="shared" si="7"/>
        <v>-600</v>
      </c>
      <c r="M84" s="111">
        <f t="shared" si="7"/>
        <v>-500</v>
      </c>
    </row>
    <row r="85" spans="7:13" ht="15">
      <c r="G85" s="110" t="s">
        <v>383</v>
      </c>
      <c r="H85" s="371">
        <f>'Table C-1'!H65</f>
        <v>-25000</v>
      </c>
      <c r="I85" s="371">
        <f>'Table C-1'!I65</f>
        <v>0</v>
      </c>
      <c r="J85" s="371">
        <f>'Table C-1'!J65</f>
        <v>28000</v>
      </c>
      <c r="K85" s="111">
        <f>'Table C-1'!K65</f>
        <v>-2800</v>
      </c>
      <c r="L85" s="111">
        <f>'Table C-1'!L65</f>
        <v>-600</v>
      </c>
      <c r="M85" s="111">
        <f>'Table C-1'!M65</f>
        <v>-500</v>
      </c>
    </row>
    <row r="86" spans="7:13" ht="15">
      <c r="G86" s="110" t="s">
        <v>384</v>
      </c>
      <c r="H86" s="371">
        <f aca="true" t="shared" si="8" ref="H86:M86">IF(H85&gt;0,0,H85)</f>
        <v>-25000</v>
      </c>
      <c r="I86" s="371">
        <f t="shared" si="8"/>
        <v>0</v>
      </c>
      <c r="J86" s="371">
        <f t="shared" si="8"/>
        <v>0</v>
      </c>
      <c r="K86" s="111">
        <f t="shared" si="8"/>
        <v>-2800</v>
      </c>
      <c r="L86" s="111">
        <f t="shared" si="8"/>
        <v>-600</v>
      </c>
      <c r="M86" s="111">
        <f t="shared" si="8"/>
        <v>-500</v>
      </c>
    </row>
    <row r="88" spans="2:13" ht="15.75" customHeight="1" hidden="1">
      <c r="B88" s="419" t="s">
        <v>402</v>
      </c>
      <c r="C88" s="420"/>
      <c r="D88" s="420"/>
      <c r="E88" s="420"/>
      <c r="F88" s="420"/>
      <c r="G88" s="420"/>
      <c r="H88" s="420"/>
      <c r="I88" s="420"/>
      <c r="J88" s="420"/>
      <c r="K88" s="420"/>
      <c r="L88" s="420"/>
      <c r="M88" s="421"/>
    </row>
    <row r="89" spans="2:13" ht="15" hidden="1">
      <c r="B89" s="422"/>
      <c r="C89" s="423"/>
      <c r="D89" s="423"/>
      <c r="E89" s="423"/>
      <c r="F89" s="423"/>
      <c r="G89" s="423"/>
      <c r="H89" s="423"/>
      <c r="I89" s="423"/>
      <c r="J89" s="423"/>
      <c r="K89" s="423"/>
      <c r="L89" s="423"/>
      <c r="M89" s="424"/>
    </row>
    <row r="90" spans="2:13" ht="15" hidden="1">
      <c r="B90" s="422"/>
      <c r="C90" s="423"/>
      <c r="D90" s="423"/>
      <c r="E90" s="423"/>
      <c r="F90" s="423"/>
      <c r="G90" s="423"/>
      <c r="H90" s="423"/>
      <c r="I90" s="423"/>
      <c r="J90" s="423"/>
      <c r="K90" s="423"/>
      <c r="L90" s="423"/>
      <c r="M90" s="424"/>
    </row>
    <row r="91" spans="2:13" ht="15" hidden="1">
      <c r="B91" s="422"/>
      <c r="C91" s="423"/>
      <c r="D91" s="423"/>
      <c r="E91" s="423"/>
      <c r="F91" s="423"/>
      <c r="G91" s="423"/>
      <c r="H91" s="423"/>
      <c r="I91" s="423"/>
      <c r="J91" s="423"/>
      <c r="K91" s="423"/>
      <c r="L91" s="423"/>
      <c r="M91" s="424"/>
    </row>
    <row r="92" spans="2:13" ht="15" hidden="1">
      <c r="B92" s="422"/>
      <c r="C92" s="423"/>
      <c r="D92" s="423"/>
      <c r="E92" s="423"/>
      <c r="F92" s="423"/>
      <c r="G92" s="423"/>
      <c r="H92" s="423"/>
      <c r="I92" s="423"/>
      <c r="J92" s="423"/>
      <c r="K92" s="423"/>
      <c r="L92" s="423"/>
      <c r="M92" s="424"/>
    </row>
    <row r="93" spans="2:13" ht="15" hidden="1">
      <c r="B93" s="425"/>
      <c r="C93" s="426"/>
      <c r="D93" s="426"/>
      <c r="E93" s="426"/>
      <c r="F93" s="426"/>
      <c r="G93" s="426"/>
      <c r="H93" s="426"/>
      <c r="I93" s="426"/>
      <c r="J93" s="426"/>
      <c r="K93" s="426"/>
      <c r="L93" s="426"/>
      <c r="M93" s="427"/>
    </row>
  </sheetData>
  <sheetProtection/>
  <protectedRanges>
    <protectedRange sqref="C69:M69" name="Range1_3"/>
    <protectedRange sqref="C70" name="Range1_3_1"/>
    <protectedRange sqref="C71:M71" name="Range1_3_2"/>
    <protectedRange sqref="C72:M72" name="Range1_3_3"/>
    <protectedRange sqref="C73:M73" name="Range1_3_4"/>
    <protectedRange sqref="C74:M74" name="Range1_3_5"/>
    <protectedRange sqref="C75:K75" name="Range1_3_6"/>
    <protectedRange sqref="C76:M76" name="Range1_3_7"/>
    <protectedRange sqref="C77:K77" name="Range1_3_8"/>
    <protectedRange sqref="C78:M78" name="Range1_3_9"/>
    <protectedRange sqref="C79:M79" name="Range1_3_10"/>
  </protectedRanges>
  <mergeCells count="31">
    <mergeCell ref="C79:M79"/>
    <mergeCell ref="C72:M72"/>
    <mergeCell ref="B88:M93"/>
    <mergeCell ref="B11:M11"/>
    <mergeCell ref="C36:G36"/>
    <mergeCell ref="C54:G54"/>
    <mergeCell ref="C76:M76"/>
    <mergeCell ref="C77:K77"/>
    <mergeCell ref="C57:G57"/>
    <mergeCell ref="C75:K75"/>
    <mergeCell ref="C78:M78"/>
    <mergeCell ref="B2:J2"/>
    <mergeCell ref="B3:J3"/>
    <mergeCell ref="B4:J4"/>
    <mergeCell ref="B5:J5"/>
    <mergeCell ref="C73:M73"/>
    <mergeCell ref="C12:G12"/>
    <mergeCell ref="B39:M44"/>
    <mergeCell ref="C21:G21"/>
    <mergeCell ref="C20:G20"/>
    <mergeCell ref="C47:G47"/>
    <mergeCell ref="C74:M74"/>
    <mergeCell ref="C24:I24"/>
    <mergeCell ref="C22:G22"/>
    <mergeCell ref="C23:G23"/>
    <mergeCell ref="C35:G35"/>
    <mergeCell ref="B60:M60"/>
    <mergeCell ref="C50:G50"/>
    <mergeCell ref="C69:M69"/>
    <mergeCell ref="C71:M71"/>
    <mergeCell ref="B61:M66"/>
  </mergeCells>
  <printOptions horizontalCentered="1"/>
  <pageMargins left="0.2" right="0.45" top="1.25" bottom="0.25" header="0.3" footer="0.3"/>
  <pageSetup fitToHeight="2" horizontalDpi="600" verticalDpi="600" orientation="portrait" r:id="rId1"/>
  <headerFooter>
    <oddHeader>&amp;RSchedule LKM - 5
&amp;P of &amp;N</oddHeader>
  </headerFooter>
  <rowBreaks count="1" manualBreakCount="1">
    <brk id="60" min="1" max="12" man="1"/>
  </rowBreaks>
  <ignoredErrors>
    <ignoredError sqref="H12:J12 H82:J82" numberStoredAsText="1"/>
    <ignoredError sqref="H85:J85" formula="1"/>
  </ignoredErrors>
</worksheet>
</file>

<file path=xl/worksheets/sheet7.xml><?xml version="1.0" encoding="utf-8"?>
<worksheet xmlns="http://schemas.openxmlformats.org/spreadsheetml/2006/main" xmlns:r="http://schemas.openxmlformats.org/officeDocument/2006/relationships">
  <sheetPr>
    <tabColor indexed="11"/>
  </sheetPr>
  <dimension ref="A1:J28"/>
  <sheetViews>
    <sheetView tabSelected="1" view="pageBreakPreview" zoomScale="60" zoomScalePageLayoutView="0" workbookViewId="0" topLeftCell="A1">
      <selection activeCell="A3" sqref="A3:E3"/>
    </sheetView>
  </sheetViews>
  <sheetFormatPr defaultColWidth="9.00390625" defaultRowHeight="15.75"/>
  <cols>
    <col min="1" max="1" width="8.25390625" style="0" customWidth="1"/>
    <col min="2" max="2" width="3.125" style="0" customWidth="1"/>
    <col min="3" max="3" width="36.125" style="0" customWidth="1"/>
    <col min="4" max="5" width="10.125" style="0" bestFit="1" customWidth="1"/>
  </cols>
  <sheetData>
    <row r="1" spans="1:10" ht="17.25">
      <c r="A1" s="461" t="s">
        <v>422</v>
      </c>
      <c r="B1" s="461"/>
      <c r="C1" s="461"/>
      <c r="D1" s="461"/>
      <c r="E1" s="461"/>
      <c r="F1" s="237"/>
      <c r="G1" s="3"/>
      <c r="H1" s="3"/>
      <c r="I1" s="3"/>
      <c r="J1" s="3"/>
    </row>
    <row r="2" spans="1:10" ht="17.25">
      <c r="A2" s="462" t="s">
        <v>469</v>
      </c>
      <c r="B2" s="462"/>
      <c r="C2" s="462"/>
      <c r="D2" s="462"/>
      <c r="E2" s="462"/>
      <c r="F2" s="237"/>
      <c r="G2" s="3"/>
      <c r="H2" s="3"/>
      <c r="I2" s="3"/>
      <c r="J2" s="3"/>
    </row>
    <row r="3" spans="1:10" ht="17.25">
      <c r="A3" s="462" t="s">
        <v>424</v>
      </c>
      <c r="B3" s="462"/>
      <c r="C3" s="462"/>
      <c r="D3" s="462"/>
      <c r="E3" s="462"/>
      <c r="F3" s="237"/>
      <c r="G3" s="3"/>
      <c r="H3" s="3"/>
      <c r="I3" s="3"/>
      <c r="J3" s="3"/>
    </row>
    <row r="4" spans="1:10" ht="17.25">
      <c r="A4" s="462" t="s">
        <v>433</v>
      </c>
      <c r="B4" s="462"/>
      <c r="C4" s="462"/>
      <c r="D4" s="462"/>
      <c r="E4" s="462"/>
      <c r="F4" s="237"/>
      <c r="G4" s="3"/>
      <c r="H4" s="3"/>
      <c r="I4" s="3"/>
      <c r="J4" s="3"/>
    </row>
    <row r="5" spans="1:10" ht="17.25">
      <c r="A5" s="463"/>
      <c r="B5" s="463"/>
      <c r="C5" s="463"/>
      <c r="D5" s="463"/>
      <c r="E5" s="463"/>
      <c r="F5" s="237"/>
      <c r="G5" s="3"/>
      <c r="H5" s="3"/>
      <c r="I5" s="3"/>
      <c r="J5" s="3"/>
    </row>
    <row r="6" spans="1:6" ht="18">
      <c r="A6" s="464"/>
      <c r="B6" s="464"/>
      <c r="C6" s="464"/>
      <c r="D6" s="464"/>
      <c r="E6" s="464"/>
      <c r="F6" s="237"/>
    </row>
    <row r="7" spans="1:6" ht="18">
      <c r="A7" s="464"/>
      <c r="B7" s="464"/>
      <c r="C7" s="464"/>
      <c r="D7" s="464"/>
      <c r="E7" s="464"/>
      <c r="F7" s="237"/>
    </row>
    <row r="8" spans="1:6" ht="18">
      <c r="A8" s="464"/>
      <c r="B8" s="464"/>
      <c r="C8" s="464"/>
      <c r="D8" s="464"/>
      <c r="E8" s="464"/>
      <c r="F8" s="237"/>
    </row>
    <row r="9" spans="1:6" ht="21">
      <c r="A9" s="465" t="s">
        <v>244</v>
      </c>
      <c r="B9" s="465"/>
      <c r="C9" s="466" t="s">
        <v>0</v>
      </c>
      <c r="D9" s="466" t="s">
        <v>16</v>
      </c>
      <c r="E9" s="466" t="s">
        <v>17</v>
      </c>
      <c r="F9" s="237"/>
    </row>
    <row r="10" spans="1:6" ht="18">
      <c r="A10" s="467">
        <v>1</v>
      </c>
      <c r="B10" s="464"/>
      <c r="C10" s="468" t="s">
        <v>451</v>
      </c>
      <c r="D10" s="464"/>
      <c r="E10" s="464"/>
      <c r="F10" s="237"/>
    </row>
    <row r="11" spans="1:6" ht="18">
      <c r="A11" s="467">
        <f>A10+1</f>
        <v>2</v>
      </c>
      <c r="B11" s="464"/>
      <c r="C11" s="469" t="s">
        <v>452</v>
      </c>
      <c r="D11" s="470">
        <f>'[5]Sheet1'!$E$20</f>
        <v>3224.580677705235</v>
      </c>
      <c r="E11" s="470">
        <f>'[5]Sheet1'!$F$20</f>
        <v>4956.083472926286</v>
      </c>
      <c r="F11" s="237"/>
    </row>
    <row r="12" spans="1:6" ht="18">
      <c r="A12" s="467">
        <f aca="true" t="shared" si="0" ref="A12:A22">A11+1</f>
        <v>3</v>
      </c>
      <c r="B12" s="464"/>
      <c r="C12" s="469" t="s">
        <v>453</v>
      </c>
      <c r="D12" s="471">
        <f>'[5]Sheet1'!$E$39</f>
        <v>5592.660112281563</v>
      </c>
      <c r="E12" s="471">
        <f>'[5]Sheet1'!$F$39</f>
        <v>9447.802776774974</v>
      </c>
      <c r="F12" s="237"/>
    </row>
    <row r="13" spans="1:6" ht="18">
      <c r="A13" s="467">
        <f t="shared" si="0"/>
        <v>4</v>
      </c>
      <c r="B13" s="464"/>
      <c r="C13" s="469" t="s">
        <v>454</v>
      </c>
      <c r="D13" s="471">
        <f>'[5]Sheet1'!$E$61</f>
        <v>7105.358207635349</v>
      </c>
      <c r="E13" s="471">
        <f>'[5]Sheet1'!$F$61</f>
        <v>7248.852494310471</v>
      </c>
      <c r="F13" s="237"/>
    </row>
    <row r="14" spans="1:6" ht="18">
      <c r="A14" s="467">
        <f t="shared" si="0"/>
        <v>5</v>
      </c>
      <c r="B14" s="464"/>
      <c r="C14" s="469" t="s">
        <v>455</v>
      </c>
      <c r="D14" s="471">
        <f>'[5]Sheet1'!$E$82</f>
        <v>26902.785890609957</v>
      </c>
      <c r="E14" s="471">
        <f>'[5]Sheet1'!$F$82</f>
        <v>13344.113999601104</v>
      </c>
      <c r="F14" s="237"/>
    </row>
    <row r="15" spans="1:6" ht="18">
      <c r="A15" s="467">
        <f t="shared" si="0"/>
        <v>6</v>
      </c>
      <c r="B15" s="464"/>
      <c r="C15" s="469" t="s">
        <v>456</v>
      </c>
      <c r="D15" s="471">
        <f>'[5]Sheet1'!$E$102</f>
        <v>8.425123299937695</v>
      </c>
      <c r="E15" s="471">
        <f>'[5]Sheet1'!$F$102</f>
        <v>8.42512330005411</v>
      </c>
      <c r="F15" s="237"/>
    </row>
    <row r="16" spans="1:6" ht="18">
      <c r="A16" s="467">
        <f t="shared" si="0"/>
        <v>7</v>
      </c>
      <c r="B16" s="464"/>
      <c r="C16" s="464"/>
      <c r="D16" s="471"/>
      <c r="E16" s="471"/>
      <c r="F16" s="237"/>
    </row>
    <row r="17" spans="1:6" ht="18">
      <c r="A17" s="467">
        <f t="shared" si="0"/>
        <v>8</v>
      </c>
      <c r="B17" s="464"/>
      <c r="C17" s="468" t="s">
        <v>450</v>
      </c>
      <c r="D17" s="471"/>
      <c r="E17" s="471"/>
      <c r="F17" s="237"/>
    </row>
    <row r="18" spans="1:6" ht="18">
      <c r="A18" s="467">
        <f t="shared" si="0"/>
        <v>9</v>
      </c>
      <c r="B18" s="464"/>
      <c r="C18" s="469" t="s">
        <v>457</v>
      </c>
      <c r="D18" s="470">
        <f>-'[5]Sheet1'!$E$107</f>
        <v>-2094.068053652416</v>
      </c>
      <c r="E18" s="470">
        <f>-'[5]Sheet1'!$F$107</f>
        <v>-2752.583194350591</v>
      </c>
      <c r="F18" s="237"/>
    </row>
    <row r="19" spans="1:6" ht="18">
      <c r="A19" s="467">
        <f t="shared" si="0"/>
        <v>10</v>
      </c>
      <c r="B19" s="464"/>
      <c r="C19" s="469" t="s">
        <v>458</v>
      </c>
      <c r="D19" s="471">
        <f>-'[5]Sheet1'!$E$115</f>
        <v>-612.0223778735381</v>
      </c>
      <c r="E19" s="471">
        <f>-'[5]Sheet1'!$F$115</f>
        <v>-676.3163269455545</v>
      </c>
      <c r="F19" s="237"/>
    </row>
    <row r="20" spans="1:6" ht="18">
      <c r="A20" s="467">
        <f t="shared" si="0"/>
        <v>11</v>
      </c>
      <c r="B20" s="464"/>
      <c r="C20" s="469" t="s">
        <v>468</v>
      </c>
      <c r="D20" s="471">
        <v>-10000</v>
      </c>
      <c r="E20" s="471">
        <v>-10000</v>
      </c>
      <c r="F20" s="237"/>
    </row>
    <row r="21" spans="1:6" ht="18">
      <c r="A21" s="467">
        <f t="shared" si="0"/>
        <v>12</v>
      </c>
      <c r="B21" s="464"/>
      <c r="C21" s="469" t="s">
        <v>449</v>
      </c>
      <c r="D21" s="471">
        <f>'[5]Sheet1'!$E$125</f>
        <v>-1032.61865935059</v>
      </c>
      <c r="E21" s="471">
        <f>'[5]Sheet1'!$F$125</f>
        <v>-1047.0753205814976</v>
      </c>
      <c r="F21" s="237"/>
    </row>
    <row r="22" spans="1:6" ht="18">
      <c r="A22" s="467">
        <f t="shared" si="0"/>
        <v>13</v>
      </c>
      <c r="B22" s="464"/>
      <c r="C22" s="469" t="s">
        <v>459</v>
      </c>
      <c r="D22" s="473">
        <v>0</v>
      </c>
      <c r="E22" s="471">
        <f>-'[5]Sheet1'!$F$120</f>
        <v>-12718.402500694967</v>
      </c>
      <c r="F22" s="237"/>
    </row>
    <row r="23" spans="1:6" ht="18">
      <c r="A23" s="467"/>
      <c r="B23" s="464"/>
      <c r="C23" s="469"/>
      <c r="D23" s="471"/>
      <c r="E23" s="471"/>
      <c r="F23" s="237"/>
    </row>
    <row r="24" spans="1:6" ht="15">
      <c r="A24" s="237"/>
      <c r="B24" s="237"/>
      <c r="C24" s="237"/>
      <c r="D24" s="237"/>
      <c r="E24" s="237"/>
      <c r="F24" s="237"/>
    </row>
    <row r="25" spans="1:6" ht="15">
      <c r="A25" s="237"/>
      <c r="B25" s="237"/>
      <c r="C25" s="237"/>
      <c r="D25" s="237"/>
      <c r="E25" s="237"/>
      <c r="F25" s="237"/>
    </row>
    <row r="26" spans="1:6" ht="15">
      <c r="A26" s="237"/>
      <c r="B26" s="237"/>
      <c r="C26" s="237"/>
      <c r="D26" s="237"/>
      <c r="E26" s="237"/>
      <c r="F26" s="237"/>
    </row>
    <row r="27" spans="1:6" ht="15">
      <c r="A27" s="237"/>
      <c r="B27" s="237"/>
      <c r="C27" s="237"/>
      <c r="D27" s="237"/>
      <c r="E27" s="237"/>
      <c r="F27" s="237"/>
    </row>
    <row r="28" spans="1:6" ht="15">
      <c r="A28" s="237"/>
      <c r="B28" s="237"/>
      <c r="C28" s="237"/>
      <c r="D28" s="237"/>
      <c r="E28" s="237"/>
      <c r="F28" s="237"/>
    </row>
  </sheetData>
  <sheetProtection/>
  <mergeCells count="4">
    <mergeCell ref="A1:E1"/>
    <mergeCell ref="A2:E2"/>
    <mergeCell ref="A3:E3"/>
    <mergeCell ref="A4:E4"/>
  </mergeCells>
  <printOptions horizontalCentered="1"/>
  <pageMargins left="0.7" right="0.7" top="1.75" bottom="0.75" header="0.3" footer="0.3"/>
  <pageSetup orientation="portrait" r:id="rId1"/>
  <headerFooter>
    <oddHeader>&amp;RSchedule LKM -6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B&amp;V DAJ</dc:creator>
  <cp:keywords/>
  <dc:description/>
  <cp:lastModifiedBy>L Morgan</cp:lastModifiedBy>
  <cp:lastPrinted>2021-03-22T18:51:46Z</cp:lastPrinted>
  <dcterms:created xsi:type="dcterms:W3CDTF">2019-03-05T12:14:10Z</dcterms:created>
  <dcterms:modified xsi:type="dcterms:W3CDTF">2021-03-22T18:53:46Z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0x01010076F2EC1726099F4BBD99C629367DD6DF</vt:lpwstr>
  </property>
</Properties>
</file>