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cd.projectcentral.bv.com@SSL\DavWWWRoot\sites\401641\Shared Documents\FY22-23 Rate Filing\Discovery\PA-ADV-1\"/>
    </mc:Choice>
  </mc:AlternateContent>
  <xr:revisionPtr revIDLastSave="0" documentId="13_ncr:1_{85077C21-9435-4076-ABF2-3502E9A22B77}" xr6:coauthVersionLast="45" xr6:coauthVersionMax="45" xr10:uidLastSave="{00000000-0000-0000-0000-000000000000}"/>
  <bookViews>
    <workbookView xWindow="-120" yWindow="-120" windowWidth="29040" windowHeight="15840" tabRatio="831" activeTab="5" xr2:uid="{E1CA75B5-4985-4F70-AF24-FD925E5C0E81}"/>
  </bookViews>
  <sheets>
    <sheet name="File Info" sheetId="11" r:id="rId1"/>
    <sheet name="Assumptions" sheetId="8" r:id="rId2"/>
    <sheet name="PWD CIP" sheetId="9" r:id="rId3"/>
    <sheet name="Conveyance System" sheetId="2" r:id="rId4"/>
    <sheet name="Collector System" sheetId="3" r:id="rId5"/>
    <sheet name="Facilities" sheetId="4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3" l="1"/>
  <c r="N19" i="3"/>
  <c r="N10" i="2" l="1"/>
  <c r="C6" i="9" l="1"/>
  <c r="D6" i="9"/>
  <c r="E6" i="9"/>
  <c r="F6" i="9"/>
  <c r="G6" i="9"/>
  <c r="H6" i="9"/>
  <c r="J23" i="9" l="1"/>
  <c r="J22" i="9"/>
  <c r="J50" i="9" l="1"/>
  <c r="J49" i="9"/>
  <c r="J48" i="9"/>
  <c r="I47" i="9"/>
  <c r="O30" i="9" l="1"/>
  <c r="N30" i="9"/>
  <c r="M30" i="9"/>
  <c r="L30" i="9"/>
  <c r="K30" i="9"/>
  <c r="H30" i="9"/>
  <c r="G30" i="9"/>
  <c r="F30" i="9"/>
  <c r="E30" i="9"/>
  <c r="D30" i="9"/>
  <c r="C30" i="9"/>
  <c r="I30" i="9"/>
  <c r="O26" i="9" l="1"/>
  <c r="O25" i="9"/>
  <c r="O24" i="9"/>
  <c r="O23" i="9"/>
  <c r="O22" i="9"/>
  <c r="N26" i="9"/>
  <c r="N25" i="9"/>
  <c r="N24" i="9"/>
  <c r="N23" i="9"/>
  <c r="N22" i="9"/>
  <c r="M26" i="9"/>
  <c r="M25" i="9"/>
  <c r="M24" i="9"/>
  <c r="M23" i="9"/>
  <c r="M22" i="9"/>
  <c r="L26" i="9"/>
  <c r="L25" i="9"/>
  <c r="L24" i="9"/>
  <c r="L23" i="9"/>
  <c r="L22" i="9"/>
  <c r="K26" i="9"/>
  <c r="K25" i="9"/>
  <c r="K24" i="9"/>
  <c r="K23" i="9"/>
  <c r="K22" i="9"/>
  <c r="C26" i="9"/>
  <c r="C25" i="9"/>
  <c r="C24" i="9"/>
  <c r="C23" i="9"/>
  <c r="D26" i="9"/>
  <c r="D25" i="9"/>
  <c r="D24" i="9"/>
  <c r="D23" i="9"/>
  <c r="E26" i="9"/>
  <c r="E25" i="9"/>
  <c r="E24" i="9"/>
  <c r="E23" i="9"/>
  <c r="F26" i="9"/>
  <c r="F25" i="9"/>
  <c r="F24" i="9"/>
  <c r="F23" i="9"/>
  <c r="G26" i="9"/>
  <c r="G38" i="9" s="1"/>
  <c r="G25" i="9"/>
  <c r="G37" i="9" s="1"/>
  <c r="G24" i="9"/>
  <c r="G36" i="9" s="1"/>
  <c r="G23" i="9"/>
  <c r="G35" i="9" s="1"/>
  <c r="H26" i="9"/>
  <c r="H25" i="9"/>
  <c r="H24" i="9"/>
  <c r="H23" i="9"/>
  <c r="I26" i="9"/>
  <c r="I25" i="9"/>
  <c r="I24" i="9"/>
  <c r="I23" i="9"/>
  <c r="I22" i="9"/>
  <c r="H22" i="9"/>
  <c r="G22" i="9"/>
  <c r="G34" i="9" s="1"/>
  <c r="F22" i="9"/>
  <c r="E22" i="9"/>
  <c r="D22" i="9"/>
  <c r="C22" i="9"/>
  <c r="G54" i="9" l="1"/>
  <c r="G66" i="9" s="1"/>
  <c r="G55" i="9"/>
  <c r="G67" i="9" s="1"/>
  <c r="G56" i="9"/>
  <c r="G68" i="9" s="1"/>
  <c r="G57" i="9"/>
  <c r="G69" i="9" s="1"/>
  <c r="G58" i="9"/>
  <c r="G70" i="9" s="1"/>
  <c r="C28" i="9"/>
  <c r="J30" i="9"/>
  <c r="J24" i="9"/>
  <c r="J25" i="9"/>
  <c r="J26" i="9"/>
  <c r="G60" i="9" l="1"/>
  <c r="G40" i="9"/>
  <c r="O42" i="3"/>
  <c r="N42" i="3"/>
  <c r="O10" i="3"/>
  <c r="N10" i="3"/>
  <c r="G62" i="9" l="1"/>
  <c r="O28" i="9"/>
  <c r="N28" i="9"/>
  <c r="B2" i="9" l="1"/>
  <c r="C14" i="4"/>
  <c r="C14" i="3"/>
  <c r="C14" i="2"/>
  <c r="C3" i="11" l="1"/>
  <c r="B2" i="4" l="1"/>
  <c r="B2" i="3"/>
  <c r="B2" i="2"/>
  <c r="F28" i="9" l="1"/>
  <c r="D28" i="9" l="1"/>
  <c r="H28" i="9"/>
  <c r="L28" i="9"/>
  <c r="G28" i="9"/>
  <c r="G42" i="9" s="1"/>
  <c r="J28" i="9"/>
  <c r="I28" i="9"/>
  <c r="K28" i="9"/>
  <c r="E28" i="9"/>
  <c r="M28" i="9"/>
  <c r="G4" i="4"/>
  <c r="G4" i="3"/>
  <c r="G4" i="2"/>
  <c r="H2" i="9"/>
  <c r="F2" i="9"/>
  <c r="F35" i="9" l="1"/>
  <c r="F36" i="9"/>
  <c r="F56" i="9" s="1"/>
  <c r="F68" i="9" s="1"/>
  <c r="F4" i="2" s="1"/>
  <c r="F37" i="9"/>
  <c r="F38" i="9"/>
  <c r="F58" i="9" s="1"/>
  <c r="F34" i="9"/>
  <c r="F54" i="9" s="1"/>
  <c r="F66" i="9" s="1"/>
  <c r="H36" i="9"/>
  <c r="H56" i="9" s="1"/>
  <c r="H37" i="9"/>
  <c r="H57" i="9" s="1"/>
  <c r="H38" i="9"/>
  <c r="H58" i="9" s="1"/>
  <c r="H70" i="9" s="1"/>
  <c r="H4" i="4" s="1"/>
  <c r="H35" i="9"/>
  <c r="H34" i="9"/>
  <c r="H54" i="9" s="1"/>
  <c r="H66" i="9" s="1"/>
  <c r="F55" i="9"/>
  <c r="F67" i="9" s="1"/>
  <c r="F57" i="9"/>
  <c r="I2" i="9"/>
  <c r="H55" i="9"/>
  <c r="H67" i="9" s="1"/>
  <c r="N42" i="2"/>
  <c r="E2" i="9"/>
  <c r="G72" i="9"/>
  <c r="G74" i="9" s="1"/>
  <c r="J2" i="9" l="1"/>
  <c r="I36" i="9"/>
  <c r="I37" i="9"/>
  <c r="I57" i="9" s="1"/>
  <c r="I34" i="9"/>
  <c r="I38" i="9"/>
  <c r="I58" i="9" s="1"/>
  <c r="I35" i="9"/>
  <c r="I55" i="9" s="1"/>
  <c r="I67" i="9" s="1"/>
  <c r="E35" i="9"/>
  <c r="E55" i="9" s="1"/>
  <c r="E67" i="9" s="1"/>
  <c r="E38" i="9"/>
  <c r="E58" i="9" s="1"/>
  <c r="E34" i="9"/>
  <c r="E36" i="9"/>
  <c r="E37" i="9"/>
  <c r="H69" i="9"/>
  <c r="H4" i="3" s="1"/>
  <c r="H80" i="9"/>
  <c r="F69" i="9"/>
  <c r="F4" i="3" s="1"/>
  <c r="H68" i="9"/>
  <c r="H4" i="2" s="1"/>
  <c r="F70" i="9"/>
  <c r="F4" i="4" s="1"/>
  <c r="H60" i="9"/>
  <c r="F60" i="9"/>
  <c r="E54" i="9"/>
  <c r="E66" i="9" s="1"/>
  <c r="E56" i="9"/>
  <c r="E68" i="9" s="1"/>
  <c r="E4" i="2" s="1"/>
  <c r="E57" i="9"/>
  <c r="I54" i="9"/>
  <c r="I66" i="9" s="1"/>
  <c r="I56" i="9"/>
  <c r="H40" i="9"/>
  <c r="H42" i="9" s="1"/>
  <c r="F40" i="9"/>
  <c r="F42" i="9" s="1"/>
  <c r="N42" i="4"/>
  <c r="N10" i="4"/>
  <c r="O10" i="2"/>
  <c r="O42" i="2"/>
  <c r="D2" i="9"/>
  <c r="K2" i="9"/>
  <c r="D35" i="9" l="1"/>
  <c r="D36" i="9"/>
  <c r="D34" i="9"/>
  <c r="D37" i="9"/>
  <c r="D38" i="9"/>
  <c r="D58" i="9" s="1"/>
  <c r="K36" i="9"/>
  <c r="K56" i="9" s="1"/>
  <c r="K38" i="9"/>
  <c r="K58" i="9" s="1"/>
  <c r="K37" i="9"/>
  <c r="K57" i="9" s="1"/>
  <c r="K35" i="9"/>
  <c r="K34" i="9"/>
  <c r="K54" i="9" s="1"/>
  <c r="K66" i="9" s="1"/>
  <c r="J34" i="9"/>
  <c r="J54" i="9" s="1"/>
  <c r="J66" i="9" s="1"/>
  <c r="J35" i="9"/>
  <c r="J55" i="9" s="1"/>
  <c r="J67" i="9" s="1"/>
  <c r="J80" i="9" s="1"/>
  <c r="J38" i="9"/>
  <c r="J58" i="9" s="1"/>
  <c r="J70" i="9" s="1"/>
  <c r="J4" i="4" s="1"/>
  <c r="J37" i="9"/>
  <c r="J57" i="9" s="1"/>
  <c r="J69" i="9" s="1"/>
  <c r="J4" i="3" s="1"/>
  <c r="J36" i="9"/>
  <c r="J56" i="9" s="1"/>
  <c r="J68" i="9" s="1"/>
  <c r="J4" i="2" s="1"/>
  <c r="E70" i="9"/>
  <c r="E4" i="4" s="1"/>
  <c r="I70" i="9"/>
  <c r="I4" i="4" s="1"/>
  <c r="I68" i="9"/>
  <c r="I4" i="2" s="1"/>
  <c r="F62" i="9"/>
  <c r="I69" i="9"/>
  <c r="I4" i="3" s="1"/>
  <c r="H62" i="9"/>
  <c r="I80" i="9"/>
  <c r="E69" i="9"/>
  <c r="E4" i="3" s="1"/>
  <c r="I60" i="9"/>
  <c r="F72" i="9"/>
  <c r="F74" i="9" s="1"/>
  <c r="E60" i="9"/>
  <c r="E40" i="9"/>
  <c r="E42" i="9" s="1"/>
  <c r="D54" i="9"/>
  <c r="D66" i="9" s="1"/>
  <c r="D56" i="9"/>
  <c r="D55" i="9"/>
  <c r="D67" i="9" s="1"/>
  <c r="D57" i="9"/>
  <c r="K55" i="9"/>
  <c r="I40" i="9"/>
  <c r="I42" i="9" s="1"/>
  <c r="O42" i="4"/>
  <c r="O10" i="4"/>
  <c r="C2" i="9"/>
  <c r="L2" i="9"/>
  <c r="L35" i="9" l="1"/>
  <c r="L36" i="9"/>
  <c r="L56" i="9" s="1"/>
  <c r="L38" i="9"/>
  <c r="L37" i="9"/>
  <c r="L34" i="9"/>
  <c r="L54" i="9" s="1"/>
  <c r="L66" i="9" s="1"/>
  <c r="J40" i="9"/>
  <c r="J42" i="9" s="1"/>
  <c r="C34" i="9"/>
  <c r="C35" i="9"/>
  <c r="C55" i="9" s="1"/>
  <c r="C67" i="9" s="1"/>
  <c r="C38" i="9"/>
  <c r="C58" i="9" s="1"/>
  <c r="C37" i="9"/>
  <c r="C36" i="9"/>
  <c r="K67" i="9"/>
  <c r="K80" i="9" s="1"/>
  <c r="K69" i="9"/>
  <c r="K4" i="3" s="1"/>
  <c r="D70" i="9"/>
  <c r="D4" i="4" s="1"/>
  <c r="I62" i="9"/>
  <c r="K70" i="9"/>
  <c r="K4" i="4" s="1"/>
  <c r="D68" i="9"/>
  <c r="D4" i="2" s="1"/>
  <c r="K68" i="9"/>
  <c r="K4" i="2" s="1"/>
  <c r="D69" i="9"/>
  <c r="D4" i="3" s="1"/>
  <c r="E62" i="9"/>
  <c r="J60" i="9"/>
  <c r="D60" i="9"/>
  <c r="K60" i="9"/>
  <c r="H79" i="9"/>
  <c r="H72" i="9"/>
  <c r="H74" i="9" s="1"/>
  <c r="E72" i="9"/>
  <c r="E74" i="9" s="1"/>
  <c r="L58" i="9"/>
  <c r="L55" i="9"/>
  <c r="L67" i="9" s="1"/>
  <c r="L57" i="9"/>
  <c r="L69" i="9" s="1"/>
  <c r="L4" i="3" s="1"/>
  <c r="C54" i="9"/>
  <c r="C66" i="9" s="1"/>
  <c r="C57" i="9"/>
  <c r="C56" i="9"/>
  <c r="D40" i="9"/>
  <c r="D42" i="9" s="1"/>
  <c r="K40" i="9"/>
  <c r="K42" i="9" s="1"/>
  <c r="M2" i="9"/>
  <c r="M35" i="9" l="1"/>
  <c r="M38" i="9"/>
  <c r="M36" i="9"/>
  <c r="M37" i="9"/>
  <c r="M57" i="9" s="1"/>
  <c r="M34" i="9"/>
  <c r="J62" i="9"/>
  <c r="L80" i="9"/>
  <c r="D62" i="9"/>
  <c r="C68" i="9"/>
  <c r="C4" i="2" s="1"/>
  <c r="C70" i="9"/>
  <c r="C4" i="4" s="1"/>
  <c r="L68" i="9"/>
  <c r="L4" i="2" s="1"/>
  <c r="C69" i="9"/>
  <c r="C4" i="3" s="1"/>
  <c r="L70" i="9"/>
  <c r="L4" i="4" s="1"/>
  <c r="K62" i="9"/>
  <c r="L60" i="9"/>
  <c r="I79" i="9"/>
  <c r="I72" i="9"/>
  <c r="D72" i="9"/>
  <c r="D74" i="9" s="1"/>
  <c r="C60" i="9"/>
  <c r="C40" i="9"/>
  <c r="C42" i="9" s="1"/>
  <c r="N2" i="9"/>
  <c r="M54" i="9"/>
  <c r="M66" i="9" s="1"/>
  <c r="M56" i="9"/>
  <c r="M58" i="9"/>
  <c r="M70" i="9" s="1"/>
  <c r="M4" i="4" s="1"/>
  <c r="M55" i="9"/>
  <c r="M67" i="9" s="1"/>
  <c r="L40" i="9"/>
  <c r="L42" i="9" s="1"/>
  <c r="O2" i="9" l="1"/>
  <c r="N37" i="9"/>
  <c r="N36" i="9"/>
  <c r="N56" i="9" s="1"/>
  <c r="N35" i="9"/>
  <c r="N55" i="9" s="1"/>
  <c r="N67" i="9" s="1"/>
  <c r="N38" i="9"/>
  <c r="N58" i="9" s="1"/>
  <c r="N34" i="9"/>
  <c r="I74" i="9"/>
  <c r="M80" i="9"/>
  <c r="L62" i="9"/>
  <c r="C62" i="9"/>
  <c r="M69" i="9"/>
  <c r="M4" i="3" s="1"/>
  <c r="M68" i="9"/>
  <c r="M4" i="2" s="1"/>
  <c r="M60" i="9"/>
  <c r="J79" i="9"/>
  <c r="J72" i="9"/>
  <c r="J74" i="9" s="1"/>
  <c r="C72" i="9"/>
  <c r="C74" i="9" s="1"/>
  <c r="K79" i="9"/>
  <c r="K72" i="9"/>
  <c r="K74" i="9" s="1"/>
  <c r="M40" i="9"/>
  <c r="M42" i="9" s="1"/>
  <c r="N57" i="9"/>
  <c r="O37" i="9" l="1"/>
  <c r="O57" i="9" s="1"/>
  <c r="O36" i="9"/>
  <c r="O56" i="9" s="1"/>
  <c r="O68" i="9" s="1"/>
  <c r="O4" i="2" s="1"/>
  <c r="O12" i="2" s="1"/>
  <c r="O38" i="9"/>
  <c r="O58" i="9" s="1"/>
  <c r="O70" i="9" s="1"/>
  <c r="O4" i="4" s="1"/>
  <c r="O12" i="4" s="1"/>
  <c r="O35" i="9"/>
  <c r="O55" i="9" s="1"/>
  <c r="O67" i="9" s="1"/>
  <c r="O80" i="9" s="1"/>
  <c r="O34" i="9"/>
  <c r="O54" i="9" s="1"/>
  <c r="O66" i="9" s="1"/>
  <c r="M62" i="9"/>
  <c r="O69" i="9"/>
  <c r="O4" i="3" s="1"/>
  <c r="O12" i="3" s="1"/>
  <c r="N68" i="9"/>
  <c r="N4" i="2" s="1"/>
  <c r="N12" i="2" s="1"/>
  <c r="N69" i="9"/>
  <c r="N4" i="3" s="1"/>
  <c r="N12" i="3" s="1"/>
  <c r="N70" i="9"/>
  <c r="N4" i="4" s="1"/>
  <c r="N12" i="4" s="1"/>
  <c r="N80" i="9"/>
  <c r="L79" i="9"/>
  <c r="L72" i="9"/>
  <c r="L74" i="9" s="1"/>
  <c r="N40" i="9"/>
  <c r="N42" i="9" s="1"/>
  <c r="N54" i="9"/>
  <c r="N66" i="9" s="1"/>
  <c r="I10" i="2"/>
  <c r="J10" i="2"/>
  <c r="K10" i="2"/>
  <c r="L10" i="2"/>
  <c r="O40" i="9" l="1"/>
  <c r="O42" i="9" s="1"/>
  <c r="O60" i="9"/>
  <c r="O72" i="9"/>
  <c r="O62" i="9"/>
  <c r="N60" i="9"/>
  <c r="N62" i="9" s="1"/>
  <c r="M79" i="9"/>
  <c r="M72" i="9"/>
  <c r="M74" i="9" s="1"/>
  <c r="O79" i="9"/>
  <c r="O74" i="9" l="1"/>
  <c r="H2" i="3"/>
  <c r="H2" i="4"/>
  <c r="N72" i="9" l="1"/>
  <c r="N79" i="9"/>
  <c r="M42" i="4"/>
  <c r="L42" i="4"/>
  <c r="K42" i="4"/>
  <c r="J42" i="4"/>
  <c r="H42" i="4"/>
  <c r="G42" i="4"/>
  <c r="F42" i="4"/>
  <c r="E42" i="4"/>
  <c r="D42" i="4"/>
  <c r="C42" i="4"/>
  <c r="I42" i="4"/>
  <c r="M10" i="4"/>
  <c r="L10" i="4"/>
  <c r="K10" i="4"/>
  <c r="J10" i="4"/>
  <c r="H10" i="4"/>
  <c r="H12" i="4" s="1"/>
  <c r="G10" i="4"/>
  <c r="G12" i="4" s="1"/>
  <c r="F10" i="4"/>
  <c r="E10" i="4"/>
  <c r="D10" i="4"/>
  <c r="C10" i="4"/>
  <c r="I10" i="4"/>
  <c r="F2" i="4"/>
  <c r="N74" i="9" l="1"/>
  <c r="E2" i="4"/>
  <c r="F12" i="4" l="1"/>
  <c r="D2" i="4"/>
  <c r="E12" i="4" l="1"/>
  <c r="C2" i="4"/>
  <c r="B15" i="4" l="1"/>
  <c r="H15" i="4" s="1"/>
  <c r="D12" i="4"/>
  <c r="H2" i="2"/>
  <c r="M42" i="3"/>
  <c r="L42" i="3"/>
  <c r="K42" i="3"/>
  <c r="J42" i="3"/>
  <c r="H42" i="3"/>
  <c r="G42" i="3"/>
  <c r="F42" i="3"/>
  <c r="E42" i="3"/>
  <c r="D42" i="3"/>
  <c r="C42" i="3"/>
  <c r="I42" i="3"/>
  <c r="M10" i="3"/>
  <c r="L10" i="3"/>
  <c r="K10" i="3"/>
  <c r="J10" i="3"/>
  <c r="H10" i="3"/>
  <c r="H12" i="3" s="1"/>
  <c r="G10" i="3"/>
  <c r="G12" i="3" s="1"/>
  <c r="F10" i="3"/>
  <c r="E10" i="3"/>
  <c r="D10" i="3"/>
  <c r="C10" i="3"/>
  <c r="I10" i="3"/>
  <c r="F2" i="3"/>
  <c r="M42" i="2"/>
  <c r="L42" i="2"/>
  <c r="K42" i="2"/>
  <c r="J42" i="2"/>
  <c r="H42" i="2"/>
  <c r="G42" i="2"/>
  <c r="F42" i="2"/>
  <c r="E42" i="2"/>
  <c r="D42" i="2"/>
  <c r="C42" i="2"/>
  <c r="I42" i="2"/>
  <c r="M10" i="2"/>
  <c r="H10" i="2"/>
  <c r="G10" i="2"/>
  <c r="G12" i="2" s="1"/>
  <c r="F10" i="2"/>
  <c r="E10" i="2"/>
  <c r="D10" i="2"/>
  <c r="C10" i="2"/>
  <c r="F2" i="2"/>
  <c r="B16" i="4" l="1"/>
  <c r="H16" i="4" s="1"/>
  <c r="I2" i="2"/>
  <c r="E2" i="3"/>
  <c r="F12" i="3"/>
  <c r="E2" i="2"/>
  <c r="F12" i="2"/>
  <c r="C12" i="4"/>
  <c r="F15" i="4" s="1"/>
  <c r="D15" i="4" l="1"/>
  <c r="E15" i="4"/>
  <c r="C15" i="4"/>
  <c r="C36" i="4" s="1"/>
  <c r="G15" i="4"/>
  <c r="B17" i="4"/>
  <c r="G16" i="4"/>
  <c r="F16" i="4"/>
  <c r="E16" i="4"/>
  <c r="D16" i="4"/>
  <c r="H12" i="2"/>
  <c r="D2" i="2"/>
  <c r="E12" i="2"/>
  <c r="D2" i="3"/>
  <c r="E12" i="3"/>
  <c r="J2" i="2"/>
  <c r="I12" i="2"/>
  <c r="D36" i="4" l="1"/>
  <c r="H17" i="4"/>
  <c r="B18" i="4"/>
  <c r="G17" i="4"/>
  <c r="F17" i="4"/>
  <c r="E17" i="4"/>
  <c r="E36" i="4" s="1"/>
  <c r="K2" i="2"/>
  <c r="J12" i="2"/>
  <c r="C2" i="3"/>
  <c r="D12" i="3"/>
  <c r="C2" i="2"/>
  <c r="D12" i="2"/>
  <c r="H18" i="4" l="1"/>
  <c r="B15" i="2"/>
  <c r="B15" i="3"/>
  <c r="B19" i="4"/>
  <c r="G18" i="4"/>
  <c r="F18" i="4"/>
  <c r="C12" i="2"/>
  <c r="C12" i="3"/>
  <c r="L2" i="2"/>
  <c r="K12" i="2"/>
  <c r="E44" i="4"/>
  <c r="I2" i="4"/>
  <c r="I15" i="4" s="1"/>
  <c r="G15" i="3" l="1"/>
  <c r="H15" i="3"/>
  <c r="F15" i="3"/>
  <c r="E15" i="3"/>
  <c r="G15" i="2"/>
  <c r="F15" i="2"/>
  <c r="H15" i="2"/>
  <c r="I15" i="2"/>
  <c r="E15" i="2"/>
  <c r="J15" i="2"/>
  <c r="L15" i="2"/>
  <c r="K15" i="2"/>
  <c r="C15" i="2"/>
  <c r="C36" i="2" s="1"/>
  <c r="C44" i="2" s="1"/>
  <c r="D15" i="2"/>
  <c r="F36" i="4"/>
  <c r="F44" i="4" s="1"/>
  <c r="H19" i="4"/>
  <c r="I19" i="4"/>
  <c r="I16" i="4"/>
  <c r="I18" i="4"/>
  <c r="I17" i="4"/>
  <c r="C15" i="3"/>
  <c r="C36" i="3" s="1"/>
  <c r="B20" i="4"/>
  <c r="G19" i="4"/>
  <c r="B16" i="3"/>
  <c r="D15" i="3"/>
  <c r="B16" i="2"/>
  <c r="H16" i="2" s="1"/>
  <c r="M2" i="2"/>
  <c r="L12" i="2"/>
  <c r="D44" i="4"/>
  <c r="J2" i="4"/>
  <c r="G16" i="3" l="1"/>
  <c r="H16" i="3"/>
  <c r="F16" i="3"/>
  <c r="E16" i="3"/>
  <c r="J16" i="4"/>
  <c r="J15" i="4"/>
  <c r="J17" i="4"/>
  <c r="N2" i="2"/>
  <c r="G36" i="4"/>
  <c r="G44" i="4" s="1"/>
  <c r="H20" i="4"/>
  <c r="H36" i="4" s="1"/>
  <c r="I20" i="4"/>
  <c r="B17" i="3"/>
  <c r="D16" i="3"/>
  <c r="J19" i="4"/>
  <c r="J20" i="4"/>
  <c r="J18" i="4"/>
  <c r="B17" i="2"/>
  <c r="G16" i="2"/>
  <c r="F16" i="2"/>
  <c r="I16" i="2"/>
  <c r="E16" i="2"/>
  <c r="D16" i="2"/>
  <c r="J16" i="2"/>
  <c r="K16" i="2"/>
  <c r="L16" i="2"/>
  <c r="M16" i="2"/>
  <c r="M15" i="2"/>
  <c r="B21" i="4"/>
  <c r="C44" i="3"/>
  <c r="M12" i="2"/>
  <c r="C44" i="4"/>
  <c r="I12" i="4"/>
  <c r="K2" i="4"/>
  <c r="H17" i="3" l="1"/>
  <c r="F17" i="3"/>
  <c r="G17" i="3"/>
  <c r="K18" i="4"/>
  <c r="K17" i="4"/>
  <c r="K16" i="4"/>
  <c r="K15" i="4"/>
  <c r="N17" i="2"/>
  <c r="N16" i="2"/>
  <c r="N15" i="2"/>
  <c r="O2" i="2"/>
  <c r="D36" i="3"/>
  <c r="D44" i="3" s="1"/>
  <c r="D36" i="2"/>
  <c r="D44" i="2" s="1"/>
  <c r="H44" i="4"/>
  <c r="H83" i="9" s="1"/>
  <c r="M17" i="2"/>
  <c r="B22" i="4"/>
  <c r="I21" i="4"/>
  <c r="J21" i="4"/>
  <c r="K20" i="4"/>
  <c r="K21" i="4"/>
  <c r="K19" i="4"/>
  <c r="B18" i="2"/>
  <c r="G17" i="2"/>
  <c r="F17" i="2"/>
  <c r="H17" i="2"/>
  <c r="E17" i="2"/>
  <c r="E36" i="2" s="1"/>
  <c r="I17" i="2"/>
  <c r="J17" i="2"/>
  <c r="K17" i="2"/>
  <c r="L17" i="2"/>
  <c r="B18" i="3"/>
  <c r="E17" i="3"/>
  <c r="L2" i="4"/>
  <c r="J12" i="4"/>
  <c r="L17" i="4" l="1"/>
  <c r="L15" i="4"/>
  <c r="L19" i="4"/>
  <c r="L16" i="4"/>
  <c r="L18" i="4"/>
  <c r="H18" i="2"/>
  <c r="G18" i="2"/>
  <c r="I18" i="2"/>
  <c r="J18" i="2"/>
  <c r="K18" i="2"/>
  <c r="L18" i="2"/>
  <c r="M18" i="2"/>
  <c r="O17" i="2"/>
  <c r="O16" i="2"/>
  <c r="O18" i="2"/>
  <c r="O15" i="2"/>
  <c r="N18" i="2"/>
  <c r="I36" i="4"/>
  <c r="I44" i="4" s="1"/>
  <c r="I83" i="9" s="1"/>
  <c r="E36" i="3"/>
  <c r="E44" i="3" s="1"/>
  <c r="E44" i="2"/>
  <c r="H18" i="3"/>
  <c r="L22" i="4"/>
  <c r="K22" i="4"/>
  <c r="J22" i="4"/>
  <c r="B19" i="3"/>
  <c r="G18" i="3"/>
  <c r="F18" i="3"/>
  <c r="L20" i="4"/>
  <c r="L21" i="4"/>
  <c r="B19" i="2"/>
  <c r="F18" i="2"/>
  <c r="F36" i="2" s="1"/>
  <c r="B23" i="4"/>
  <c r="I2" i="3"/>
  <c r="K12" i="4"/>
  <c r="M2" i="4"/>
  <c r="I16" i="3" l="1"/>
  <c r="I15" i="3"/>
  <c r="I17" i="3"/>
  <c r="M18" i="4"/>
  <c r="M19" i="4"/>
  <c r="M17" i="4"/>
  <c r="M20" i="4"/>
  <c r="M15" i="4"/>
  <c r="M16" i="4"/>
  <c r="H19" i="2"/>
  <c r="J19" i="2"/>
  <c r="K19" i="2"/>
  <c r="L19" i="2"/>
  <c r="M19" i="2"/>
  <c r="N19" i="2"/>
  <c r="O19" i="2"/>
  <c r="J36" i="4"/>
  <c r="J44" i="4" s="1"/>
  <c r="J83" i="9" s="1"/>
  <c r="F36" i="3"/>
  <c r="F44" i="3" s="1"/>
  <c r="F44" i="2"/>
  <c r="H19" i="3"/>
  <c r="N2" i="4"/>
  <c r="I19" i="3"/>
  <c r="I18" i="3"/>
  <c r="M22" i="4"/>
  <c r="I19" i="2"/>
  <c r="L23" i="4"/>
  <c r="B20" i="2"/>
  <c r="G19" i="2"/>
  <c r="M21" i="4"/>
  <c r="M23" i="4"/>
  <c r="B20" i="3"/>
  <c r="G19" i="3"/>
  <c r="B24" i="4"/>
  <c r="K23" i="4"/>
  <c r="J2" i="3"/>
  <c r="I12" i="3"/>
  <c r="L12" i="4"/>
  <c r="J18" i="3" l="1"/>
  <c r="J15" i="3"/>
  <c r="J16" i="3"/>
  <c r="J17" i="3"/>
  <c r="J19" i="3"/>
  <c r="J20" i="3"/>
  <c r="N16" i="4"/>
  <c r="N18" i="4"/>
  <c r="N21" i="4"/>
  <c r="N20" i="4"/>
  <c r="N17" i="4"/>
  <c r="N19" i="4"/>
  <c r="N15" i="4"/>
  <c r="N22" i="4"/>
  <c r="N23" i="4"/>
  <c r="J20" i="2"/>
  <c r="K20" i="2"/>
  <c r="L20" i="2"/>
  <c r="M20" i="2"/>
  <c r="N20" i="2"/>
  <c r="O20" i="2"/>
  <c r="K36" i="4"/>
  <c r="K44" i="4" s="1"/>
  <c r="K83" i="9" s="1"/>
  <c r="N24" i="4"/>
  <c r="L24" i="4"/>
  <c r="L36" i="4" s="1"/>
  <c r="L44" i="4" s="1"/>
  <c r="L83" i="9" s="1"/>
  <c r="M24" i="4"/>
  <c r="G36" i="3"/>
  <c r="G44" i="3" s="1"/>
  <c r="G36" i="2"/>
  <c r="G44" i="2" s="1"/>
  <c r="H20" i="3"/>
  <c r="H36" i="3" s="1"/>
  <c r="H44" i="3" s="1"/>
  <c r="H82" i="9" s="1"/>
  <c r="H20" i="2"/>
  <c r="H36" i="2" s="1"/>
  <c r="H44" i="2" s="1"/>
  <c r="H81" i="9" s="1"/>
  <c r="I20" i="2"/>
  <c r="I20" i="3"/>
  <c r="O2" i="4"/>
  <c r="B25" i="4"/>
  <c r="B21" i="3"/>
  <c r="B21" i="2"/>
  <c r="K2" i="3"/>
  <c r="J12" i="3"/>
  <c r="M12" i="4"/>
  <c r="K20" i="3" l="1"/>
  <c r="K19" i="3"/>
  <c r="K16" i="3"/>
  <c r="K15" i="3"/>
  <c r="K17" i="3"/>
  <c r="K18" i="3"/>
  <c r="O16" i="4"/>
  <c r="O18" i="4"/>
  <c r="O20" i="4"/>
  <c r="O17" i="4"/>
  <c r="O21" i="4"/>
  <c r="O22" i="4"/>
  <c r="O19" i="4"/>
  <c r="O15" i="4"/>
  <c r="O24" i="4"/>
  <c r="J21" i="2"/>
  <c r="I21" i="2"/>
  <c r="I36" i="2" s="1"/>
  <c r="I44" i="2" s="1"/>
  <c r="I81" i="9" s="1"/>
  <c r="K21" i="2"/>
  <c r="L21" i="2"/>
  <c r="M21" i="2"/>
  <c r="N21" i="2"/>
  <c r="O21" i="2"/>
  <c r="B26" i="4"/>
  <c r="N26" i="4" s="1"/>
  <c r="J21" i="3"/>
  <c r="O23" i="4"/>
  <c r="O25" i="4"/>
  <c r="N25" i="4"/>
  <c r="M25" i="4"/>
  <c r="B22" i="3"/>
  <c r="I21" i="3"/>
  <c r="I36" i="3" s="1"/>
  <c r="B22" i="2"/>
  <c r="K21" i="3"/>
  <c r="H85" i="9"/>
  <c r="L2" i="3"/>
  <c r="K12" i="3"/>
  <c r="L19" i="3" l="1"/>
  <c r="L21" i="3"/>
  <c r="L16" i="3"/>
  <c r="L15" i="3"/>
  <c r="L17" i="3"/>
  <c r="L20" i="3"/>
  <c r="L18" i="3"/>
  <c r="O26" i="4"/>
  <c r="K22" i="2"/>
  <c r="J22" i="2"/>
  <c r="J36" i="2" s="1"/>
  <c r="J44" i="2" s="1"/>
  <c r="J81" i="9" s="1"/>
  <c r="L22" i="2"/>
  <c r="M22" i="2"/>
  <c r="N22" i="2"/>
  <c r="O22" i="2"/>
  <c r="N36" i="4"/>
  <c r="N44" i="4" s="1"/>
  <c r="N83" i="9" s="1"/>
  <c r="I44" i="3"/>
  <c r="I82" i="9" s="1"/>
  <c r="I85" i="9" s="1"/>
  <c r="M36" i="4"/>
  <c r="M44" i="4" s="1"/>
  <c r="M83" i="9" s="1"/>
  <c r="B27" i="4"/>
  <c r="B28" i="4" s="1"/>
  <c r="B29" i="4" s="1"/>
  <c r="B30" i="4" s="1"/>
  <c r="B31" i="4" s="1"/>
  <c r="B32" i="4" s="1"/>
  <c r="B33" i="4" s="1"/>
  <c r="K22" i="3"/>
  <c r="B23" i="2"/>
  <c r="L22" i="3"/>
  <c r="B23" i="3"/>
  <c r="J22" i="3"/>
  <c r="M2" i="3"/>
  <c r="L12" i="3"/>
  <c r="N2" i="3" l="1"/>
  <c r="M16" i="3"/>
  <c r="M22" i="3"/>
  <c r="M19" i="3"/>
  <c r="M21" i="3"/>
  <c r="M15" i="3"/>
  <c r="M17" i="3"/>
  <c r="M20" i="3"/>
  <c r="M18" i="3"/>
  <c r="K23" i="2"/>
  <c r="K36" i="2" s="1"/>
  <c r="K44" i="2" s="1"/>
  <c r="K81" i="9" s="1"/>
  <c r="L23" i="2"/>
  <c r="M23" i="2"/>
  <c r="N23" i="2"/>
  <c r="O23" i="2"/>
  <c r="J36" i="3"/>
  <c r="J44" i="3" s="1"/>
  <c r="J82" i="9" s="1"/>
  <c r="J85" i="9" s="1"/>
  <c r="O27" i="4"/>
  <c r="L23" i="3"/>
  <c r="O2" i="3"/>
  <c r="B24" i="2"/>
  <c r="M23" i="3"/>
  <c r="B24" i="3"/>
  <c r="K23" i="3"/>
  <c r="M12" i="3"/>
  <c r="O17" i="3" l="1"/>
  <c r="O20" i="3"/>
  <c r="O18" i="3"/>
  <c r="O24" i="3"/>
  <c r="O23" i="3"/>
  <c r="O22" i="3"/>
  <c r="O21" i="3"/>
  <c r="O16" i="3"/>
  <c r="O15" i="3"/>
  <c r="N20" i="3"/>
  <c r="N18" i="3"/>
  <c r="N23" i="3"/>
  <c r="N22" i="3"/>
  <c r="N21" i="3"/>
  <c r="N16" i="3"/>
  <c r="N15" i="3"/>
  <c r="N17" i="3"/>
  <c r="L24" i="2"/>
  <c r="L36" i="2" s="1"/>
  <c r="L44" i="2" s="1"/>
  <c r="L81" i="9" s="1"/>
  <c r="M24" i="2"/>
  <c r="N24" i="2"/>
  <c r="O24" i="2"/>
  <c r="O36" i="4"/>
  <c r="O44" i="4" s="1"/>
  <c r="O83" i="9" s="1"/>
  <c r="K36" i="3"/>
  <c r="K44" i="3" s="1"/>
  <c r="K82" i="9" s="1"/>
  <c r="K85" i="9" s="1"/>
  <c r="N24" i="3"/>
  <c r="M24" i="3"/>
  <c r="L24" i="3"/>
  <c r="B25" i="2"/>
  <c r="B25" i="3"/>
  <c r="N25" i="2" l="1"/>
  <c r="M25" i="2"/>
  <c r="M36" i="2" s="1"/>
  <c r="M44" i="2" s="1"/>
  <c r="M81" i="9" s="1"/>
  <c r="O25" i="2"/>
  <c r="L36" i="3"/>
  <c r="L44" i="3" s="1"/>
  <c r="L82" i="9" s="1"/>
  <c r="L85" i="9" s="1"/>
  <c r="B26" i="3"/>
  <c r="N25" i="3"/>
  <c r="O25" i="3"/>
  <c r="B26" i="2"/>
  <c r="M25" i="3"/>
  <c r="O26" i="3" l="1"/>
  <c r="N26" i="3"/>
  <c r="N36" i="3" s="1"/>
  <c r="N44" i="3" s="1"/>
  <c r="N82" i="9" s="1"/>
  <c r="B27" i="3"/>
  <c r="N26" i="2"/>
  <c r="N36" i="2" s="1"/>
  <c r="N44" i="2" s="1"/>
  <c r="N81" i="9" s="1"/>
  <c r="O26" i="2"/>
  <c r="M36" i="3"/>
  <c r="M44" i="3" s="1"/>
  <c r="M82" i="9" s="1"/>
  <c r="M85" i="9" s="1"/>
  <c r="B27" i="2"/>
  <c r="B28" i="3" l="1"/>
  <c r="O27" i="3"/>
  <c r="O36" i="3" s="1"/>
  <c r="O44" i="3" s="1"/>
  <c r="O82" i="9" s="1"/>
  <c r="O27" i="2"/>
  <c r="O36" i="2" s="1"/>
  <c r="O44" i="2" s="1"/>
  <c r="O81" i="9" s="1"/>
  <c r="B28" i="2"/>
  <c r="N85" i="9"/>
  <c r="B29" i="3" l="1"/>
  <c r="B29" i="2"/>
  <c r="O85" i="9"/>
  <c r="B30" i="3" l="1"/>
  <c r="B30" i="2"/>
  <c r="B31" i="3" l="1"/>
  <c r="B31" i="2"/>
  <c r="B32" i="3" l="1"/>
  <c r="B32" i="2"/>
  <c r="B33" i="3" l="1"/>
  <c r="B33" i="2"/>
</calcChain>
</file>

<file path=xl/sharedStrings.xml><?xml version="1.0" encoding="utf-8"?>
<sst xmlns="http://schemas.openxmlformats.org/spreadsheetml/2006/main" count="153" uniqueCount="74">
  <si>
    <t>Less Budget for Detailed Cashflow Items</t>
  </si>
  <si>
    <t>Subtotal</t>
  </si>
  <si>
    <t>Remaining CIP Budget</t>
  </si>
  <si>
    <t>Estimated Spending of Balance</t>
  </si>
  <si>
    <t>Total Projected Spending</t>
  </si>
  <si>
    <t>CIP Inflation</t>
  </si>
  <si>
    <t>Base Year</t>
  </si>
  <si>
    <t>Revised Total - Inflated</t>
  </si>
  <si>
    <t>Engineering Admin</t>
  </si>
  <si>
    <t>Class 100</t>
  </si>
  <si>
    <t>Vehicles</t>
  </si>
  <si>
    <t>Water Conveyance</t>
  </si>
  <si>
    <t>Sewer Collection</t>
  </si>
  <si>
    <t>Facilities</t>
  </si>
  <si>
    <t>Total</t>
  </si>
  <si>
    <t>Less Budget for Detailed Cashflow Items (Inflated)</t>
  </si>
  <si>
    <t>Remaining CIP Budget (Inflated)</t>
  </si>
  <si>
    <t>Plus Detailed Cashflow Items (Inflated)</t>
  </si>
  <si>
    <t>Less Budget for Detailed Cashflow Items - Inflated</t>
  </si>
  <si>
    <t>Remaining CIP Budget - Inflated</t>
  </si>
  <si>
    <t>Class 100 - Shift Staff to O&amp;M</t>
  </si>
  <si>
    <t xml:space="preserve">Total Inflation Adjustment </t>
  </si>
  <si>
    <t>File Name</t>
  </si>
  <si>
    <t>Description</t>
  </si>
  <si>
    <t xml:space="preserve">Last Updated </t>
  </si>
  <si>
    <t>Development of Capital Improvement Program -  Annual Expenditure Estimates</t>
  </si>
  <si>
    <t xml:space="preserve">Source: </t>
  </si>
  <si>
    <t xml:space="preserve">Project Duration </t>
  </si>
  <si>
    <t>Engineering &amp; Admin</t>
  </si>
  <si>
    <t>N/A</t>
  </si>
  <si>
    <t>Applied for projects without detailed cashflow estimates</t>
  </si>
  <si>
    <t>Projection Assumptions</t>
  </si>
  <si>
    <t>Duration Assumptions</t>
  </si>
  <si>
    <t>Duration Adjustment</t>
  </si>
  <si>
    <t>No Duration Adjustment</t>
  </si>
  <si>
    <t>See Conveyance System Tab</t>
  </si>
  <si>
    <t>See Sewer Collection Tab</t>
  </si>
  <si>
    <t xml:space="preserve">See Facilities Tab </t>
  </si>
  <si>
    <t>Year(s)</t>
  </si>
  <si>
    <t xml:space="preserve">Includes Distribution System Rehabilitation and Large Meter Replacement </t>
  </si>
  <si>
    <t xml:space="preserve">Includes Engineering and Administration </t>
  </si>
  <si>
    <t xml:space="preserve">Includes Vehicles </t>
  </si>
  <si>
    <t xml:space="preserve">©Black &amp; Veatch Corporation 2019. </t>
  </si>
  <si>
    <t xml:space="preserve">Developed By </t>
  </si>
  <si>
    <t>Black &amp; Veatch Management Consulting, LLC.</t>
  </si>
  <si>
    <t>Includes Storm Flood Relief, Reconstruction of Sewers and Green Infrastructure and Stream Restoration</t>
  </si>
  <si>
    <t xml:space="preserve">PWD CIP Budget </t>
  </si>
  <si>
    <t>Delay (Months)</t>
  </si>
  <si>
    <t>Delay (months)</t>
  </si>
  <si>
    <t>Includes Plant Improvements</t>
  </si>
  <si>
    <t>Reflects FY 2021 Budget adjustment and then continued shift of staff to O&amp;M</t>
  </si>
  <si>
    <t>Total Roll-Forward</t>
  </si>
  <si>
    <t>Total Adjustments</t>
  </si>
  <si>
    <t>Total Estimated Drawdown</t>
  </si>
  <si>
    <t>Class 100 - Adjustment and Shift Staff to O&amp;M</t>
  </si>
  <si>
    <t>PWD CIP Budget w/Salary Adjustment and Inflation</t>
  </si>
  <si>
    <t>PWD CIP Budget - Salary Adjustment</t>
  </si>
  <si>
    <t>PWD CIP Budget w/ Salary Adjustment</t>
  </si>
  <si>
    <t xml:space="preserve">Total Contingency Adjustment </t>
  </si>
  <si>
    <t>Engineering Admin Adjustment</t>
  </si>
  <si>
    <t xml:space="preserve">Improvements </t>
  </si>
  <si>
    <t>Notes</t>
  </si>
  <si>
    <t>Capital Program FY 2021 from adopted FY 2021 budget and FY 2022-2027 Proposed Budget (6 Years) (2020-10-30)</t>
  </si>
  <si>
    <t xml:space="preserve">Reflects FY 2021 rollforward </t>
  </si>
  <si>
    <t>Reflects FY 2020 rollforward of vehicle budget</t>
  </si>
  <si>
    <t>PWD CIP Budget - Rollforward Estimate</t>
  </si>
  <si>
    <t>PWD CIP Budget w/Salary Adjustment, Inflation and Rollforward</t>
  </si>
  <si>
    <t xml:space="preserve">PWD CIP Budget w/ Salary Adjustment, Inflation, Rollforward and Contingency Adjustment </t>
  </si>
  <si>
    <t>PWD CIP Budget w/ Salary Adjustment, Inflation, Rollforward, Contingency Adjustment and Project Duration</t>
  </si>
  <si>
    <t xml:space="preserve">Temporary shut down of capital program </t>
  </si>
  <si>
    <t>Not In Use</t>
  </si>
  <si>
    <t>Contingency Adjustment 1</t>
  </si>
  <si>
    <t xml:space="preserve">Reflects removal of contingency </t>
  </si>
  <si>
    <t>Contingency Adjustment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</si>
</sst>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00_);_(* \(#,##0.000\);_(* &quot;-&quot;??_);_(@_)"/>
    <numFmt numFmtId="167" formatCode="&quot;FY &quot;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FF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3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sz val="11"/>
      <color theme="4"/>
      <name val="Calibri"/>
      <family val="2"/>
      <scheme val="minor"/>
    </font>
    <font>
      <sz val="11"/>
      <color theme="4"/>
      <name val="Calibri Light"/>
      <family val="2"/>
      <scheme val="major"/>
    </font>
    <font>
      <u/>
      <sz val="11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 indent="1"/>
    </xf>
    <xf numFmtId="164" fontId="2" fillId="0" borderId="0" xfId="0" applyNumberFormat="1" applyFont="1"/>
    <xf numFmtId="43" fontId="2" fillId="0" borderId="0" xfId="0" applyNumberFormat="1" applyFont="1"/>
    <xf numFmtId="166" fontId="2" fillId="0" borderId="0" xfId="0" applyNumberFormat="1" applyFont="1"/>
    <xf numFmtId="165" fontId="2" fillId="0" borderId="0" xfId="2" applyNumberFormat="1" applyFont="1"/>
    <xf numFmtId="164" fontId="2" fillId="0" borderId="0" xfId="1" applyNumberFormat="1" applyFont="1"/>
    <xf numFmtId="0" fontId="4" fillId="3" borderId="0" xfId="0" applyFont="1" applyFill="1"/>
    <xf numFmtId="0" fontId="4" fillId="0" borderId="0" xfId="0" applyFont="1" applyAlignment="1">
      <alignment horizontal="left" indent="1"/>
    </xf>
    <xf numFmtId="0" fontId="4" fillId="4" borderId="0" xfId="0" applyFont="1" applyFill="1" applyAlignment="1">
      <alignment horizontal="left" indent="1"/>
    </xf>
    <xf numFmtId="164" fontId="2" fillId="4" borderId="0" xfId="0" applyNumberFormat="1" applyFont="1" applyFill="1"/>
    <xf numFmtId="0" fontId="4" fillId="4" borderId="0" xfId="0" applyFont="1" applyFill="1"/>
    <xf numFmtId="0" fontId="2" fillId="0" borderId="0" xfId="0" applyFont="1" applyAlignment="1">
      <alignment horizontal="left" indent="2"/>
    </xf>
    <xf numFmtId="0" fontId="2" fillId="0" borderId="0" xfId="0" applyFont="1" applyFill="1"/>
    <xf numFmtId="164" fontId="2" fillId="0" borderId="0" xfId="0" applyNumberFormat="1" applyFont="1" applyFill="1"/>
    <xf numFmtId="0" fontId="4" fillId="0" borderId="0" xfId="0" applyFont="1" applyFill="1"/>
    <xf numFmtId="0" fontId="2" fillId="0" borderId="0" xfId="0" applyFont="1" applyFill="1" applyAlignment="1">
      <alignment horizontal="left" indent="1"/>
    </xf>
    <xf numFmtId="165" fontId="2" fillId="0" borderId="0" xfId="2" applyNumberFormat="1" applyFont="1" applyFill="1"/>
    <xf numFmtId="164" fontId="5" fillId="0" borderId="0" xfId="1" applyNumberFormat="1" applyFont="1" applyFill="1"/>
    <xf numFmtId="0" fontId="6" fillId="0" borderId="0" xfId="0" applyFont="1" applyAlignment="1">
      <alignment horizontal="left" indent="1"/>
    </xf>
    <xf numFmtId="0" fontId="4" fillId="5" borderId="0" xfId="0" applyFont="1" applyFill="1"/>
    <xf numFmtId="164" fontId="2" fillId="5" borderId="0" xfId="0" applyNumberFormat="1" applyFont="1" applyFill="1"/>
    <xf numFmtId="0" fontId="0" fillId="0" borderId="1" xfId="0" applyBorder="1"/>
    <xf numFmtId="14" fontId="7" fillId="2" borderId="0" xfId="0" applyNumberFormat="1" applyFont="1" applyFill="1"/>
    <xf numFmtId="0" fontId="0" fillId="0" borderId="0" xfId="0" applyAlignment="1">
      <alignment horizontal="left" indent="1"/>
    </xf>
    <xf numFmtId="165" fontId="3" fillId="2" borderId="2" xfId="3" applyNumberFormat="1" applyFont="1" applyFill="1" applyBorder="1"/>
    <xf numFmtId="9" fontId="3" fillId="2" borderId="2" xfId="3" applyNumberFormat="1" applyFont="1" applyFill="1" applyBorder="1" applyAlignment="1">
      <alignment horizontal="right"/>
    </xf>
    <xf numFmtId="0" fontId="3" fillId="2" borderId="2" xfId="3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2" fillId="6" borderId="0" xfId="0" applyFont="1" applyFill="1"/>
    <xf numFmtId="0" fontId="4" fillId="6" borderId="0" xfId="0" applyFont="1" applyFill="1"/>
    <xf numFmtId="0" fontId="4" fillId="6" borderId="0" xfId="0" applyFont="1" applyFill="1" applyAlignment="1">
      <alignment horizontal="right"/>
    </xf>
    <xf numFmtId="164" fontId="2" fillId="6" borderId="0" xfId="0" applyNumberFormat="1" applyFont="1" applyFill="1"/>
    <xf numFmtId="164" fontId="6" fillId="6" borderId="0" xfId="0" applyNumberFormat="1" applyFont="1" applyFill="1" applyAlignment="1">
      <alignment horizontal="left" indent="2"/>
    </xf>
    <xf numFmtId="164" fontId="5" fillId="2" borderId="0" xfId="1" applyNumberFormat="1" applyFont="1" applyFill="1"/>
    <xf numFmtId="167" fontId="4" fillId="3" borderId="0" xfId="0" applyNumberFormat="1" applyFont="1" applyFill="1"/>
    <xf numFmtId="167" fontId="4" fillId="0" borderId="0" xfId="0" applyNumberFormat="1" applyFont="1"/>
    <xf numFmtId="0" fontId="2" fillId="7" borderId="0" xfId="0" applyFont="1" applyFill="1"/>
    <xf numFmtId="0" fontId="4" fillId="0" borderId="0" xfId="0" applyFont="1" applyFill="1" applyAlignment="1">
      <alignment horizontal="left" indent="1"/>
    </xf>
    <xf numFmtId="164" fontId="2" fillId="8" borderId="0" xfId="0" applyNumberFormat="1" applyFont="1" applyFill="1"/>
    <xf numFmtId="43" fontId="2" fillId="8" borderId="0" xfId="0" applyNumberFormat="1" applyFont="1" applyFill="1"/>
    <xf numFmtId="0" fontId="9" fillId="0" borderId="0" xfId="0" applyFont="1"/>
    <xf numFmtId="0" fontId="8" fillId="2" borderId="0" xfId="0" applyFont="1" applyFill="1"/>
  </cellXfs>
  <cellStyles count="4">
    <cellStyle name="Comma" xfId="1" builtinId="3"/>
    <cellStyle name="Normal" xfId="0" builtinId="0"/>
    <cellStyle name="Normal 10" xfId="3" xr:uid="{5BF3D6D3-43EB-49F3-ABBA-F5E58B15721A}"/>
    <cellStyle name="Percent" xfId="2" builtinId="5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01FEA-42DF-4B59-9DED-2637E28181CF}">
  <dimension ref="B2:C12"/>
  <sheetViews>
    <sheetView workbookViewId="0">
      <selection activeCell="M19" sqref="M19"/>
    </sheetView>
  </sheetViews>
  <sheetFormatPr defaultRowHeight="15" x14ac:dyDescent="0.25"/>
  <cols>
    <col min="2" max="2" width="16.28515625" customWidth="1"/>
    <col min="3" max="3" width="17" customWidth="1"/>
  </cols>
  <sheetData>
    <row r="2" spans="2:3" ht="15.75" thickBot="1" x14ac:dyDescent="0.3"/>
    <row r="3" spans="2:3" ht="15.75" thickBot="1" x14ac:dyDescent="0.3">
      <c r="B3" s="24" t="s">
        <v>22</v>
      </c>
      <c r="C3" s="26" t="str">
        <f ca="1">MID(CELL("filename",A1),FIND("[",CELL("filename",A1))+1,FIND("]",CELL("filename",A1))-FIND("[",CELL("filename",A1))-1)</f>
        <v>PA-ADV-13.xlsx</v>
      </c>
    </row>
    <row r="4" spans="2:3" ht="15.75" thickBot="1" x14ac:dyDescent="0.3">
      <c r="C4" s="26"/>
    </row>
    <row r="5" spans="2:3" ht="15.75" thickBot="1" x14ac:dyDescent="0.3">
      <c r="B5" s="24" t="s">
        <v>23</v>
      </c>
      <c r="C5" s="26" t="s">
        <v>25</v>
      </c>
    </row>
    <row r="6" spans="2:3" ht="15.75" thickBot="1" x14ac:dyDescent="0.3"/>
    <row r="7" spans="2:3" ht="15.75" thickBot="1" x14ac:dyDescent="0.3">
      <c r="B7" s="24" t="s">
        <v>24</v>
      </c>
      <c r="C7" s="25">
        <v>43803</v>
      </c>
    </row>
    <row r="8" spans="2:3" ht="15.75" thickBot="1" x14ac:dyDescent="0.3"/>
    <row r="9" spans="2:3" ht="15.75" thickBot="1" x14ac:dyDescent="0.3">
      <c r="B9" s="24" t="s">
        <v>43</v>
      </c>
      <c r="C9" s="26" t="s">
        <v>44</v>
      </c>
    </row>
    <row r="12" spans="2:3" x14ac:dyDescent="0.25">
      <c r="B12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87F99-FB4F-4F56-85B9-F3489300339E}">
  <sheetPr>
    <tabColor theme="0" tint="-0.499984740745262"/>
  </sheetPr>
  <dimension ref="B2:I20"/>
  <sheetViews>
    <sheetView workbookViewId="0">
      <selection activeCell="D10" sqref="D10"/>
    </sheetView>
  </sheetViews>
  <sheetFormatPr defaultColWidth="9.28515625" defaultRowHeight="15" x14ac:dyDescent="0.25"/>
  <cols>
    <col min="1" max="1" width="9.28515625" style="1"/>
    <col min="2" max="2" width="27.28515625" style="1" customWidth="1"/>
    <col min="3" max="16384" width="9.28515625" style="1"/>
  </cols>
  <sheetData>
    <row r="2" spans="2:9" x14ac:dyDescent="0.25">
      <c r="B2" s="33" t="s">
        <v>31</v>
      </c>
      <c r="C2" s="32"/>
      <c r="D2" s="32"/>
      <c r="E2" s="32"/>
      <c r="F2" s="32"/>
      <c r="G2" s="32"/>
      <c r="H2" s="32"/>
      <c r="I2" s="32"/>
    </row>
    <row r="3" spans="2:9" ht="15.75" thickBot="1" x14ac:dyDescent="0.3"/>
    <row r="4" spans="2:9" ht="15.75" thickBot="1" x14ac:dyDescent="0.3">
      <c r="B4" s="3" t="s">
        <v>5</v>
      </c>
      <c r="C4" s="27">
        <v>0.03</v>
      </c>
    </row>
    <row r="5" spans="2:9" ht="15.75" thickBot="1" x14ac:dyDescent="0.3">
      <c r="B5" s="3"/>
    </row>
    <row r="6" spans="2:9" ht="15.75" thickBot="1" x14ac:dyDescent="0.3">
      <c r="B6" s="3" t="s">
        <v>6</v>
      </c>
      <c r="C6" s="29">
        <v>2022</v>
      </c>
    </row>
    <row r="7" spans="2:9" ht="15.75" thickBot="1" x14ac:dyDescent="0.3">
      <c r="B7" s="3"/>
    </row>
    <row r="8" spans="2:9" ht="15.75" thickBot="1" x14ac:dyDescent="0.3">
      <c r="B8" s="3" t="s">
        <v>71</v>
      </c>
      <c r="C8" s="28">
        <v>1</v>
      </c>
      <c r="D8" s="21" t="s">
        <v>72</v>
      </c>
      <c r="H8" s="1" t="s">
        <v>59</v>
      </c>
    </row>
    <row r="9" spans="2:9" ht="15.75" thickBot="1" x14ac:dyDescent="0.3">
      <c r="B9" s="3"/>
      <c r="C9" s="21"/>
      <c r="D9" s="21"/>
    </row>
    <row r="10" spans="2:9" ht="15.75" thickBot="1" x14ac:dyDescent="0.3">
      <c r="B10" s="3" t="s">
        <v>73</v>
      </c>
      <c r="C10" s="28">
        <v>0.85</v>
      </c>
      <c r="D10" s="21" t="s">
        <v>72</v>
      </c>
      <c r="H10" s="1" t="s">
        <v>60</v>
      </c>
    </row>
    <row r="12" spans="2:9" x14ac:dyDescent="0.25">
      <c r="B12" s="33" t="s">
        <v>32</v>
      </c>
      <c r="C12" s="32"/>
      <c r="D12" s="32"/>
      <c r="E12" s="32"/>
      <c r="F12" s="32"/>
      <c r="G12" s="32"/>
      <c r="H12" s="32"/>
      <c r="I12" s="32"/>
    </row>
    <row r="14" spans="2:9" x14ac:dyDescent="0.25">
      <c r="B14" s="3" t="s">
        <v>27</v>
      </c>
      <c r="C14" s="30"/>
      <c r="D14" s="21" t="s">
        <v>30</v>
      </c>
    </row>
    <row r="15" spans="2:9" x14ac:dyDescent="0.25">
      <c r="B15" s="3"/>
      <c r="C15" s="30"/>
    </row>
    <row r="16" spans="2:9" x14ac:dyDescent="0.25">
      <c r="B16" s="14" t="s">
        <v>28</v>
      </c>
      <c r="C16" s="31" t="s">
        <v>29</v>
      </c>
      <c r="D16" s="30" t="s">
        <v>38</v>
      </c>
    </row>
    <row r="17" spans="2:4" x14ac:dyDescent="0.25">
      <c r="B17" s="14" t="s">
        <v>10</v>
      </c>
      <c r="C17" s="31" t="s">
        <v>29</v>
      </c>
      <c r="D17" s="30" t="s">
        <v>38</v>
      </c>
    </row>
    <row r="18" spans="2:4" x14ac:dyDescent="0.25">
      <c r="B18" s="14" t="s">
        <v>11</v>
      </c>
      <c r="C18" s="31">
        <v>2</v>
      </c>
      <c r="D18" s="30" t="s">
        <v>38</v>
      </c>
    </row>
    <row r="19" spans="2:4" x14ac:dyDescent="0.25">
      <c r="B19" s="14" t="s">
        <v>12</v>
      </c>
      <c r="C19" s="31">
        <v>3</v>
      </c>
      <c r="D19" s="30" t="s">
        <v>38</v>
      </c>
    </row>
    <row r="20" spans="2:4" x14ac:dyDescent="0.25">
      <c r="B20" s="14" t="s">
        <v>13</v>
      </c>
      <c r="C20" s="31">
        <v>5</v>
      </c>
      <c r="D20" s="30" t="s">
        <v>38</v>
      </c>
    </row>
  </sheetData>
  <dataValidations count="1">
    <dataValidation type="list" allowBlank="1" showInputMessage="1" showErrorMessage="1" sqref="C18:C20" xr:uid="{831E8187-A94B-44F0-9BC3-042DFB46514B}">
      <formula1>"1,2,3,4,5"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6C131-42A2-417D-9B3B-BCF2988E529B}">
  <sheetPr>
    <tabColor theme="4"/>
  </sheetPr>
  <dimension ref="B2:R96"/>
  <sheetViews>
    <sheetView zoomScale="90" zoomScaleNormal="90" workbookViewId="0">
      <pane xSplit="2" ySplit="3" topLeftCell="I4" activePane="bottomRight" state="frozen"/>
      <selection pane="topRight" activeCell="C1" sqref="C1"/>
      <selection pane="bottomLeft" activeCell="A4" sqref="A4"/>
      <selection pane="bottomRight" activeCell="R23" sqref="R23"/>
    </sheetView>
  </sheetViews>
  <sheetFormatPr defaultColWidth="9.28515625" defaultRowHeight="15" x14ac:dyDescent="0.25"/>
  <cols>
    <col min="1" max="1" width="9.28515625" style="1"/>
    <col min="2" max="2" width="34.5703125" style="1" bestFit="1" customWidth="1"/>
    <col min="3" max="7" width="15.7109375" style="1" bestFit="1" customWidth="1"/>
    <col min="8" max="8" width="16.5703125" style="1" bestFit="1" customWidth="1"/>
    <col min="9" max="15" width="15.7109375" style="1" bestFit="1" customWidth="1"/>
    <col min="16" max="16" width="4.5703125" style="1" customWidth="1"/>
    <col min="17" max="17" width="13.28515625" style="1" customWidth="1"/>
    <col min="18" max="18" width="78.42578125" style="1" customWidth="1"/>
    <col min="19" max="16384" width="9.28515625" style="1"/>
  </cols>
  <sheetData>
    <row r="2" spans="2:18" s="2" customFormat="1" x14ac:dyDescent="0.25">
      <c r="B2" s="9" t="str">
        <f ca="1">MID(CELL("filename",A1),FIND("]",CELL("filename",A1))+1,256)</f>
        <v>PWD CIP</v>
      </c>
      <c r="C2" s="38">
        <f t="shared" ref="C2:F2" si="0">+D2-1</f>
        <v>2015</v>
      </c>
      <c r="D2" s="38">
        <f t="shared" si="0"/>
        <v>2016</v>
      </c>
      <c r="E2" s="38">
        <f t="shared" si="0"/>
        <v>2017</v>
      </c>
      <c r="F2" s="38">
        <f t="shared" si="0"/>
        <v>2018</v>
      </c>
      <c r="G2" s="38">
        <v>2019</v>
      </c>
      <c r="H2" s="38">
        <f>+G2+1</f>
        <v>2020</v>
      </c>
      <c r="I2" s="38">
        <f t="shared" ref="I2:M2" si="1">+H2+1</f>
        <v>2021</v>
      </c>
      <c r="J2" s="38">
        <f t="shared" si="1"/>
        <v>2022</v>
      </c>
      <c r="K2" s="38">
        <f t="shared" si="1"/>
        <v>2023</v>
      </c>
      <c r="L2" s="38">
        <f t="shared" si="1"/>
        <v>2024</v>
      </c>
      <c r="M2" s="38">
        <f t="shared" si="1"/>
        <v>2025</v>
      </c>
      <c r="N2" s="38">
        <f t="shared" ref="N2" si="2">+M2+1</f>
        <v>2026</v>
      </c>
      <c r="O2" s="38">
        <f t="shared" ref="O2" si="3">+N2+1</f>
        <v>2027</v>
      </c>
      <c r="Q2" s="38" t="s">
        <v>61</v>
      </c>
      <c r="R2" s="38"/>
    </row>
    <row r="4" spans="2:18" x14ac:dyDescent="0.25">
      <c r="B4" s="2" t="s">
        <v>46</v>
      </c>
    </row>
    <row r="5" spans="2:18" x14ac:dyDescent="0.25">
      <c r="B5" s="3" t="s">
        <v>8</v>
      </c>
      <c r="Q5" s="44" t="s">
        <v>26</v>
      </c>
      <c r="R5" s="15" t="s">
        <v>62</v>
      </c>
    </row>
    <row r="6" spans="2:18" x14ac:dyDescent="0.25">
      <c r="B6" s="14" t="s">
        <v>9</v>
      </c>
      <c r="C6" s="37">
        <f>28633000-2000000</f>
        <v>26633000</v>
      </c>
      <c r="D6" s="37">
        <f>40128000-10000000</f>
        <v>30128000</v>
      </c>
      <c r="E6" s="37">
        <f>42325000-8000000</f>
        <v>34325000</v>
      </c>
      <c r="F6" s="37">
        <f>50698000-15000000</f>
        <v>35698000</v>
      </c>
      <c r="G6" s="37">
        <f>31645000-12000000</f>
        <v>19645000</v>
      </c>
      <c r="H6" s="37">
        <f>28047000-12000000</f>
        <v>16047000</v>
      </c>
      <c r="I6" s="37">
        <v>13865000</v>
      </c>
      <c r="J6" s="37">
        <v>15319000</v>
      </c>
      <c r="K6" s="37">
        <v>15319000</v>
      </c>
      <c r="L6" s="37">
        <v>15319000</v>
      </c>
      <c r="M6" s="37">
        <v>15319000</v>
      </c>
      <c r="N6" s="37">
        <v>15319000</v>
      </c>
      <c r="O6" s="37">
        <v>15319000</v>
      </c>
      <c r="Q6" s="1" t="s">
        <v>40</v>
      </c>
    </row>
    <row r="7" spans="2:18" x14ac:dyDescent="0.25">
      <c r="B7" s="14" t="s">
        <v>10</v>
      </c>
      <c r="C7" s="37">
        <v>2000000</v>
      </c>
      <c r="D7" s="37">
        <v>10000000</v>
      </c>
      <c r="E7" s="37">
        <v>8000000</v>
      </c>
      <c r="F7" s="37">
        <v>15000000</v>
      </c>
      <c r="G7" s="37">
        <v>12000000</v>
      </c>
      <c r="H7" s="37">
        <v>12000000</v>
      </c>
      <c r="I7" s="37">
        <v>12000000</v>
      </c>
      <c r="J7" s="37">
        <v>12000000</v>
      </c>
      <c r="K7" s="37">
        <v>12000000</v>
      </c>
      <c r="L7" s="37">
        <v>12000000</v>
      </c>
      <c r="M7" s="37">
        <v>12000000</v>
      </c>
      <c r="N7" s="37">
        <v>12000000</v>
      </c>
      <c r="O7" s="37">
        <v>12000000</v>
      </c>
      <c r="Q7" s="1" t="s">
        <v>41</v>
      </c>
    </row>
    <row r="8" spans="2:18" x14ac:dyDescent="0.25">
      <c r="B8" s="3" t="s">
        <v>11</v>
      </c>
      <c r="C8" s="37">
        <v>36060000</v>
      </c>
      <c r="D8" s="37">
        <v>49060000</v>
      </c>
      <c r="E8" s="37">
        <v>51060000</v>
      </c>
      <c r="F8" s="37">
        <v>75060000</v>
      </c>
      <c r="G8" s="37">
        <v>89060000</v>
      </c>
      <c r="H8" s="37">
        <v>113060000</v>
      </c>
      <c r="I8" s="37">
        <v>98060000</v>
      </c>
      <c r="J8" s="37">
        <v>35760000</v>
      </c>
      <c r="K8" s="37">
        <v>111760000</v>
      </c>
      <c r="L8" s="37">
        <v>182860000</v>
      </c>
      <c r="M8" s="37">
        <v>123160000</v>
      </c>
      <c r="N8" s="37">
        <v>113760000</v>
      </c>
      <c r="O8" s="37">
        <v>113760000</v>
      </c>
      <c r="Q8" s="1" t="s">
        <v>39</v>
      </c>
    </row>
    <row r="9" spans="2:18" x14ac:dyDescent="0.25">
      <c r="B9" s="3" t="s">
        <v>12</v>
      </c>
      <c r="C9" s="37">
        <v>70660000</v>
      </c>
      <c r="D9" s="37">
        <v>84960000</v>
      </c>
      <c r="E9" s="37">
        <v>98244000</v>
      </c>
      <c r="F9" s="37">
        <v>107900000</v>
      </c>
      <c r="G9" s="37">
        <v>113000000</v>
      </c>
      <c r="H9" s="37">
        <v>139800000</v>
      </c>
      <c r="I9" s="37">
        <v>159460000</v>
      </c>
      <c r="J9" s="37">
        <v>65260000</v>
      </c>
      <c r="K9" s="37">
        <v>155360000</v>
      </c>
      <c r="L9" s="37">
        <v>155360000</v>
      </c>
      <c r="M9" s="37">
        <v>155360000</v>
      </c>
      <c r="N9" s="37">
        <v>217360000</v>
      </c>
      <c r="O9" s="37">
        <v>217360000</v>
      </c>
      <c r="Q9" s="1" t="s">
        <v>45</v>
      </c>
    </row>
    <row r="10" spans="2:18" x14ac:dyDescent="0.25">
      <c r="B10" s="3" t="s">
        <v>13</v>
      </c>
      <c r="C10" s="37">
        <v>125000000</v>
      </c>
      <c r="D10" s="37">
        <v>109893000</v>
      </c>
      <c r="E10" s="37">
        <v>110000000</v>
      </c>
      <c r="F10" s="37">
        <v>120000000</v>
      </c>
      <c r="G10" s="37">
        <v>120000000</v>
      </c>
      <c r="H10" s="37">
        <v>120000000</v>
      </c>
      <c r="I10" s="37">
        <v>328000000</v>
      </c>
      <c r="J10" s="37">
        <v>250550000</v>
      </c>
      <c r="K10" s="37">
        <v>309300000</v>
      </c>
      <c r="L10" s="37">
        <v>306600000</v>
      </c>
      <c r="M10" s="37">
        <v>190300000</v>
      </c>
      <c r="N10" s="37">
        <v>301300000</v>
      </c>
      <c r="O10" s="37">
        <v>329300000</v>
      </c>
      <c r="Q10" s="1" t="s">
        <v>49</v>
      </c>
    </row>
    <row r="12" spans="2:18" x14ac:dyDescent="0.25">
      <c r="B12" s="2" t="s">
        <v>56</v>
      </c>
    </row>
    <row r="13" spans="2:18" x14ac:dyDescent="0.25">
      <c r="B13" s="3" t="s">
        <v>8</v>
      </c>
    </row>
    <row r="14" spans="2:18" x14ac:dyDescent="0.25">
      <c r="B14" s="14" t="s">
        <v>54</v>
      </c>
      <c r="C14" s="37"/>
      <c r="D14" s="37"/>
      <c r="E14" s="37"/>
      <c r="F14" s="37"/>
      <c r="G14" s="37"/>
      <c r="H14" s="37"/>
      <c r="I14" s="37">
        <v>135000</v>
      </c>
      <c r="J14" s="37">
        <v>-1724000</v>
      </c>
      <c r="K14" s="37">
        <v>-3448000</v>
      </c>
      <c r="L14" s="37">
        <v>-5172000</v>
      </c>
      <c r="M14" s="37">
        <v>-6896000</v>
      </c>
      <c r="N14" s="37">
        <v>-8620000</v>
      </c>
      <c r="O14" s="37">
        <v>-10344000</v>
      </c>
      <c r="Q14" s="1" t="s">
        <v>50</v>
      </c>
    </row>
    <row r="15" spans="2:18" x14ac:dyDescent="0.25">
      <c r="B15" s="14" t="s">
        <v>10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</row>
    <row r="16" spans="2:18" x14ac:dyDescent="0.25">
      <c r="B16" s="3" t="s">
        <v>11</v>
      </c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</row>
    <row r="17" spans="2:15" x14ac:dyDescent="0.25">
      <c r="B17" s="3" t="s">
        <v>12</v>
      </c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2:15" x14ac:dyDescent="0.25">
      <c r="B18" s="3" t="s">
        <v>13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</row>
    <row r="20" spans="2:15" x14ac:dyDescent="0.25">
      <c r="B20" s="2" t="s">
        <v>57</v>
      </c>
    </row>
    <row r="21" spans="2:15" x14ac:dyDescent="0.25">
      <c r="B21" s="3" t="s">
        <v>8</v>
      </c>
    </row>
    <row r="22" spans="2:15" x14ac:dyDescent="0.25">
      <c r="B22" s="14" t="s">
        <v>9</v>
      </c>
      <c r="C22" s="20">
        <f t="shared" ref="C22:O22" si="4">C14+C6</f>
        <v>26633000</v>
      </c>
      <c r="D22" s="20">
        <f t="shared" si="4"/>
        <v>30128000</v>
      </c>
      <c r="E22" s="20">
        <f t="shared" si="4"/>
        <v>34325000</v>
      </c>
      <c r="F22" s="20">
        <f t="shared" si="4"/>
        <v>35698000</v>
      </c>
      <c r="G22" s="20">
        <f t="shared" si="4"/>
        <v>19645000</v>
      </c>
      <c r="H22" s="20">
        <f t="shared" si="4"/>
        <v>16047000</v>
      </c>
      <c r="I22" s="20">
        <f t="shared" si="4"/>
        <v>14000000</v>
      </c>
      <c r="J22" s="20">
        <f>J14+J6</f>
        <v>13595000</v>
      </c>
      <c r="K22" s="20">
        <f t="shared" si="4"/>
        <v>11871000</v>
      </c>
      <c r="L22" s="20">
        <f t="shared" si="4"/>
        <v>10147000</v>
      </c>
      <c r="M22" s="20">
        <f t="shared" si="4"/>
        <v>8423000</v>
      </c>
      <c r="N22" s="20">
        <f t="shared" si="4"/>
        <v>6699000</v>
      </c>
      <c r="O22" s="20">
        <f t="shared" si="4"/>
        <v>4975000</v>
      </c>
    </row>
    <row r="23" spans="2:15" x14ac:dyDescent="0.25">
      <c r="B23" s="14" t="s">
        <v>10</v>
      </c>
      <c r="C23" s="20">
        <f t="shared" ref="C23" si="5">C15+C7</f>
        <v>2000000</v>
      </c>
      <c r="D23" s="20">
        <f t="shared" ref="D23" si="6">D15+D7</f>
        <v>10000000</v>
      </c>
      <c r="E23" s="20">
        <f t="shared" ref="E23" si="7">E15+E7</f>
        <v>8000000</v>
      </c>
      <c r="F23" s="20">
        <f t="shared" ref="F23" si="8">F15+F7</f>
        <v>15000000</v>
      </c>
      <c r="G23" s="20">
        <f t="shared" ref="G23" si="9">G15+G7</f>
        <v>12000000</v>
      </c>
      <c r="H23" s="20">
        <f t="shared" ref="H23" si="10">H15+H7</f>
        <v>12000000</v>
      </c>
      <c r="I23" s="20">
        <f t="shared" ref="I23:J26" si="11">I15+I7</f>
        <v>12000000</v>
      </c>
      <c r="J23" s="20">
        <f>J15+J7</f>
        <v>12000000</v>
      </c>
      <c r="K23" s="20">
        <f t="shared" ref="K23:O23" si="12">K15+K7</f>
        <v>12000000</v>
      </c>
      <c r="L23" s="20">
        <f t="shared" si="12"/>
        <v>12000000</v>
      </c>
      <c r="M23" s="20">
        <f t="shared" si="12"/>
        <v>12000000</v>
      </c>
      <c r="N23" s="20">
        <f t="shared" si="12"/>
        <v>12000000</v>
      </c>
      <c r="O23" s="20">
        <f t="shared" si="12"/>
        <v>12000000</v>
      </c>
    </row>
    <row r="24" spans="2:15" x14ac:dyDescent="0.25">
      <c r="B24" s="3" t="s">
        <v>11</v>
      </c>
      <c r="C24" s="20">
        <f t="shared" ref="C24" si="13">C16+C8</f>
        <v>36060000</v>
      </c>
      <c r="D24" s="20">
        <f t="shared" ref="D24" si="14">D16+D8</f>
        <v>49060000</v>
      </c>
      <c r="E24" s="20">
        <f t="shared" ref="E24" si="15">E16+E8</f>
        <v>51060000</v>
      </c>
      <c r="F24" s="20">
        <f t="shared" ref="F24" si="16">F16+F8</f>
        <v>75060000</v>
      </c>
      <c r="G24" s="20">
        <f t="shared" ref="G24" si="17">G16+G8</f>
        <v>89060000</v>
      </c>
      <c r="H24" s="20">
        <f t="shared" ref="H24" si="18">H16+H8</f>
        <v>113060000</v>
      </c>
      <c r="I24" s="20">
        <f t="shared" si="11"/>
        <v>98060000</v>
      </c>
      <c r="J24" s="20">
        <f t="shared" si="11"/>
        <v>35760000</v>
      </c>
      <c r="K24" s="20">
        <f t="shared" ref="K24:O24" si="19">K16+K8</f>
        <v>111760000</v>
      </c>
      <c r="L24" s="20">
        <f t="shared" si="19"/>
        <v>182860000</v>
      </c>
      <c r="M24" s="20">
        <f t="shared" si="19"/>
        <v>123160000</v>
      </c>
      <c r="N24" s="20">
        <f t="shared" si="19"/>
        <v>113760000</v>
      </c>
      <c r="O24" s="20">
        <f t="shared" si="19"/>
        <v>113760000</v>
      </c>
    </row>
    <row r="25" spans="2:15" x14ac:dyDescent="0.25">
      <c r="B25" s="3" t="s">
        <v>12</v>
      </c>
      <c r="C25" s="20">
        <f t="shared" ref="C25" si="20">C17+C9</f>
        <v>70660000</v>
      </c>
      <c r="D25" s="20">
        <f t="shared" ref="D25" si="21">D17+D9</f>
        <v>84960000</v>
      </c>
      <c r="E25" s="20">
        <f t="shared" ref="E25" si="22">E17+E9</f>
        <v>98244000</v>
      </c>
      <c r="F25" s="20">
        <f t="shared" ref="F25" si="23">F17+F9</f>
        <v>107900000</v>
      </c>
      <c r="G25" s="20">
        <f t="shared" ref="G25" si="24">G17+G9</f>
        <v>113000000</v>
      </c>
      <c r="H25" s="20">
        <f t="shared" ref="H25" si="25">H17+H9</f>
        <v>139800000</v>
      </c>
      <c r="I25" s="20">
        <f t="shared" si="11"/>
        <v>159460000</v>
      </c>
      <c r="J25" s="20">
        <f t="shared" si="11"/>
        <v>65260000</v>
      </c>
      <c r="K25" s="20">
        <f t="shared" ref="K25:O25" si="26">K17+K9</f>
        <v>155360000</v>
      </c>
      <c r="L25" s="20">
        <f t="shared" si="26"/>
        <v>155360000</v>
      </c>
      <c r="M25" s="20">
        <f t="shared" si="26"/>
        <v>155360000</v>
      </c>
      <c r="N25" s="20">
        <f t="shared" si="26"/>
        <v>217360000</v>
      </c>
      <c r="O25" s="20">
        <f t="shared" si="26"/>
        <v>217360000</v>
      </c>
    </row>
    <row r="26" spans="2:15" x14ac:dyDescent="0.25">
      <c r="B26" s="3" t="s">
        <v>13</v>
      </c>
      <c r="C26" s="20">
        <f t="shared" ref="C26" si="27">C18+C10</f>
        <v>125000000</v>
      </c>
      <c r="D26" s="20">
        <f t="shared" ref="D26" si="28">D18+D10</f>
        <v>109893000</v>
      </c>
      <c r="E26" s="20">
        <f t="shared" ref="E26" si="29">E18+E10</f>
        <v>110000000</v>
      </c>
      <c r="F26" s="20">
        <f t="shared" ref="F26" si="30">F18+F10</f>
        <v>120000000</v>
      </c>
      <c r="G26" s="20">
        <f t="shared" ref="G26" si="31">G18+G10</f>
        <v>120000000</v>
      </c>
      <c r="H26" s="20">
        <f t="shared" ref="H26" si="32">H18+H10</f>
        <v>120000000</v>
      </c>
      <c r="I26" s="20">
        <f t="shared" si="11"/>
        <v>328000000</v>
      </c>
      <c r="J26" s="20">
        <f t="shared" si="11"/>
        <v>250550000</v>
      </c>
      <c r="K26" s="20">
        <f t="shared" ref="K26:O26" si="33">K18+K10</f>
        <v>309300000</v>
      </c>
      <c r="L26" s="20">
        <f t="shared" si="33"/>
        <v>306600000</v>
      </c>
      <c r="M26" s="20">
        <f t="shared" si="33"/>
        <v>190300000</v>
      </c>
      <c r="N26" s="20">
        <f t="shared" si="33"/>
        <v>301300000</v>
      </c>
      <c r="O26" s="20">
        <f t="shared" si="33"/>
        <v>329300000</v>
      </c>
    </row>
    <row r="28" spans="2:15" x14ac:dyDescent="0.25">
      <c r="B28" s="11" t="s">
        <v>14</v>
      </c>
      <c r="C28" s="12">
        <f>SUM(C22:C27)</f>
        <v>260353000</v>
      </c>
      <c r="D28" s="12">
        <f t="shared" ref="D28:M28" si="34">SUM(D22:D27)</f>
        <v>284041000</v>
      </c>
      <c r="E28" s="12">
        <f t="shared" si="34"/>
        <v>301629000</v>
      </c>
      <c r="F28" s="12">
        <f t="shared" si="34"/>
        <v>353658000</v>
      </c>
      <c r="G28" s="12">
        <f t="shared" si="34"/>
        <v>353705000</v>
      </c>
      <c r="H28" s="12">
        <f t="shared" si="34"/>
        <v>400907000</v>
      </c>
      <c r="I28" s="12">
        <f t="shared" si="34"/>
        <v>611520000</v>
      </c>
      <c r="J28" s="12">
        <f t="shared" si="34"/>
        <v>377165000</v>
      </c>
      <c r="K28" s="12">
        <f t="shared" si="34"/>
        <v>600291000</v>
      </c>
      <c r="L28" s="12">
        <f t="shared" si="34"/>
        <v>666967000</v>
      </c>
      <c r="M28" s="12">
        <f t="shared" si="34"/>
        <v>489243000</v>
      </c>
      <c r="N28" s="12">
        <f t="shared" ref="N28:O28" si="35">SUM(N22:N27)</f>
        <v>651119000</v>
      </c>
      <c r="O28" s="12">
        <f t="shared" si="35"/>
        <v>677395000</v>
      </c>
    </row>
    <row r="29" spans="2:15" x14ac:dyDescent="0.25"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25">
      <c r="B30" s="13" t="s">
        <v>52</v>
      </c>
      <c r="C30" s="12">
        <f>SUM(C14:C18)</f>
        <v>0</v>
      </c>
      <c r="D30" s="12">
        <f t="shared" ref="D30:O30" si="36">SUM(D14:D18)</f>
        <v>0</v>
      </c>
      <c r="E30" s="12">
        <f t="shared" si="36"/>
        <v>0</v>
      </c>
      <c r="F30" s="12">
        <f t="shared" si="36"/>
        <v>0</v>
      </c>
      <c r="G30" s="12">
        <f t="shared" si="36"/>
        <v>0</v>
      </c>
      <c r="H30" s="12">
        <f t="shared" si="36"/>
        <v>0</v>
      </c>
      <c r="I30" s="12">
        <f t="shared" si="36"/>
        <v>135000</v>
      </c>
      <c r="J30" s="12">
        <f t="shared" si="36"/>
        <v>-1724000</v>
      </c>
      <c r="K30" s="12">
        <f t="shared" si="36"/>
        <v>-3448000</v>
      </c>
      <c r="L30" s="12">
        <f t="shared" si="36"/>
        <v>-5172000</v>
      </c>
      <c r="M30" s="12">
        <f t="shared" si="36"/>
        <v>-6896000</v>
      </c>
      <c r="N30" s="12">
        <f t="shared" si="36"/>
        <v>-8620000</v>
      </c>
      <c r="O30" s="12">
        <f t="shared" si="36"/>
        <v>-10344000</v>
      </c>
    </row>
    <row r="32" spans="2:15" x14ac:dyDescent="0.25">
      <c r="B32" s="2" t="s">
        <v>55</v>
      </c>
    </row>
    <row r="33" spans="2:17" x14ac:dyDescent="0.25">
      <c r="B33" s="3" t="s">
        <v>8</v>
      </c>
    </row>
    <row r="34" spans="2:17" x14ac:dyDescent="0.25">
      <c r="B34" s="14" t="s">
        <v>9</v>
      </c>
      <c r="C34" s="20">
        <f>IF(C$2&gt;Assumptions!$C$6,C22*((1+Assumptions!$C$4)^(C$2-Assumptions!$C$6)),C22)</f>
        <v>26633000</v>
      </c>
      <c r="D34" s="20">
        <f>IF(D$2&gt;Assumptions!$C$6,D22*((1+Assumptions!$C$4)^(D$2-Assumptions!$C$6)),D22)</f>
        <v>30128000</v>
      </c>
      <c r="E34" s="20">
        <f>IF(E$2&gt;Assumptions!$C$6,E22*((1+Assumptions!$C$4)^(E$2-Assumptions!$C$6)),E22)</f>
        <v>34325000</v>
      </c>
      <c r="F34" s="20">
        <f>IF(F$2&gt;Assumptions!$C$6,F22*((1+Assumptions!$C$4)^(F$2-Assumptions!$C$6)),F22)</f>
        <v>35698000</v>
      </c>
      <c r="G34" s="20">
        <f>IF(G$2&gt;Assumptions!$C$6,G22*((1+Assumptions!$C$4)^(G$2-Assumptions!$C$6)),G22)</f>
        <v>19645000</v>
      </c>
      <c r="H34" s="20">
        <f>IF(H$2&gt;Assumptions!$C$6,H22*((1+Assumptions!$C$4)^(H$2-Assumptions!$C$6)),H22)</f>
        <v>16047000</v>
      </c>
      <c r="I34" s="20">
        <f>IF(I$2&gt;Assumptions!$C$6,I22*((1+Assumptions!$C$4)^(I$2-Assumptions!$C$6)),I22)</f>
        <v>14000000</v>
      </c>
      <c r="J34" s="20">
        <f>IF(J$2&gt;Assumptions!$C$6,J22*((1+Assumptions!$C$4)^(J$2-Assumptions!$C$6)),J22)</f>
        <v>13595000</v>
      </c>
      <c r="K34" s="20">
        <f>IF(K$2&gt;Assumptions!$C$6,K22*((1+Assumptions!$C$4)^(K$2-Assumptions!$C$6)),K22)</f>
        <v>12227130</v>
      </c>
      <c r="L34" s="20">
        <f>IF(L$2&gt;Assumptions!$C$6,L22*((1+Assumptions!$C$4)^(L$2-Assumptions!$C$6)),L22)</f>
        <v>10764952.299999999</v>
      </c>
      <c r="M34" s="20">
        <f>IF(M$2&gt;Assumptions!$C$6,M22*((1+Assumptions!$C$4)^(M$2-Assumptions!$C$6)),M22)</f>
        <v>9204039.5209999997</v>
      </c>
      <c r="N34" s="20">
        <f>IF(N$2&gt;Assumptions!$C$6,N22*((1+Assumptions!$C$4)^(N$2-Assumptions!$C$6)),N22)</f>
        <v>7539783.5181899993</v>
      </c>
      <c r="O34" s="20">
        <f>IF(O$2&gt;Assumptions!$C$6,O22*((1+Assumptions!$C$4)^(O$2-Assumptions!$C$6)),O22)</f>
        <v>5767388.5196424993</v>
      </c>
    </row>
    <row r="35" spans="2:17" x14ac:dyDescent="0.25">
      <c r="B35" s="14" t="s">
        <v>10</v>
      </c>
      <c r="C35" s="20">
        <f>IF(C$2&gt;Assumptions!$C$6,C23*((1+Assumptions!$C$4)^(C$2-Assumptions!$C$6)),C23)</f>
        <v>2000000</v>
      </c>
      <c r="D35" s="20">
        <f>IF(D$2&gt;Assumptions!$C$6,D23*((1+Assumptions!$C$4)^(D$2-Assumptions!$C$6)),D23)</f>
        <v>10000000</v>
      </c>
      <c r="E35" s="20">
        <f>IF(E$2&gt;Assumptions!$C$6,E23*((1+Assumptions!$C$4)^(E$2-Assumptions!$C$6)),E23)</f>
        <v>8000000</v>
      </c>
      <c r="F35" s="20">
        <f>IF(F$2&gt;Assumptions!$C$6,F23*((1+Assumptions!$C$4)^(F$2-Assumptions!$C$6)),F23)</f>
        <v>15000000</v>
      </c>
      <c r="G35" s="20">
        <f>IF(G$2&gt;Assumptions!$C$6,G23*((1+Assumptions!$C$4)^(G$2-Assumptions!$C$6)),G23)</f>
        <v>12000000</v>
      </c>
      <c r="H35" s="20">
        <f>IF(H$2&gt;Assumptions!$C$6,H23*((1+Assumptions!$C$4)^(H$2-Assumptions!$C$6)),H23)</f>
        <v>12000000</v>
      </c>
      <c r="I35" s="20">
        <f>IF(I$2&gt;Assumptions!$C$6,I23*((1+Assumptions!$C$4)^(I$2-Assumptions!$C$6)),I23)</f>
        <v>12000000</v>
      </c>
      <c r="J35" s="20">
        <f>IF(J$2&gt;Assumptions!$C$6,J23*((1+Assumptions!$C$4)^(J$2-Assumptions!$C$6)),J23)</f>
        <v>12000000</v>
      </c>
      <c r="K35" s="20">
        <f>IF(K$2&gt;Assumptions!$C$6,K23*((1+Assumptions!$C$4)^(K$2-Assumptions!$C$6)),K23)</f>
        <v>12360000</v>
      </c>
      <c r="L35" s="20">
        <f>IF(L$2&gt;Assumptions!$C$6,L23*((1+Assumptions!$C$4)^(L$2-Assumptions!$C$6)),L23)</f>
        <v>12730800</v>
      </c>
      <c r="M35" s="20">
        <f>IF(M$2&gt;Assumptions!$C$6,M23*((1+Assumptions!$C$4)^(M$2-Assumptions!$C$6)),M23)</f>
        <v>13112724</v>
      </c>
      <c r="N35" s="20">
        <f>IF(N$2&gt;Assumptions!$C$6,N23*((1+Assumptions!$C$4)^(N$2-Assumptions!$C$6)),N23)</f>
        <v>13506105.719999999</v>
      </c>
      <c r="O35" s="20">
        <f>IF(O$2&gt;Assumptions!$C$6,O23*((1+Assumptions!$C$4)^(O$2-Assumptions!$C$6)),O23)</f>
        <v>13911288.891599998</v>
      </c>
    </row>
    <row r="36" spans="2:17" x14ac:dyDescent="0.25">
      <c r="B36" s="3" t="s">
        <v>11</v>
      </c>
      <c r="C36" s="20">
        <f>IF(C$2&gt;Assumptions!$C$6,C24*((1+Assumptions!$C$4)^(C$2-Assumptions!$C$6)),C24)</f>
        <v>36060000</v>
      </c>
      <c r="D36" s="20">
        <f>IF(D$2&gt;Assumptions!$C$6,D24*((1+Assumptions!$C$4)^(D$2-Assumptions!$C$6)),D24)</f>
        <v>49060000</v>
      </c>
      <c r="E36" s="20">
        <f>IF(E$2&gt;Assumptions!$C$6,E24*((1+Assumptions!$C$4)^(E$2-Assumptions!$C$6)),E24)</f>
        <v>51060000</v>
      </c>
      <c r="F36" s="20">
        <f>IF(F$2&gt;Assumptions!$C$6,F24*((1+Assumptions!$C$4)^(F$2-Assumptions!$C$6)),F24)</f>
        <v>75060000</v>
      </c>
      <c r="G36" s="20">
        <f>IF(G$2&gt;Assumptions!$C$6,G24*((1+Assumptions!$C$4)^(G$2-Assumptions!$C$6)),G24)</f>
        <v>89060000</v>
      </c>
      <c r="H36" s="20">
        <f>IF(H$2&gt;Assumptions!$C$6,H24*((1+Assumptions!$C$4)^(H$2-Assumptions!$C$6)),H24)</f>
        <v>113060000</v>
      </c>
      <c r="I36" s="20">
        <f>IF(I$2&gt;Assumptions!$C$6,I24*((1+Assumptions!$C$4)^(I$2-Assumptions!$C$6)),I24)</f>
        <v>98060000</v>
      </c>
      <c r="J36" s="20">
        <f>IF(J$2&gt;Assumptions!$C$6,J24*((1+Assumptions!$C$4)^(J$2-Assumptions!$C$6)),J24)</f>
        <v>35760000</v>
      </c>
      <c r="K36" s="20">
        <f>IF(K$2&gt;Assumptions!$C$6,K24*((1+Assumptions!$C$4)^(K$2-Assumptions!$C$6)),K24)</f>
        <v>115112800</v>
      </c>
      <c r="L36" s="20">
        <f>IF(L$2&gt;Assumptions!$C$6,L24*((1+Assumptions!$C$4)^(L$2-Assumptions!$C$6)),L24)</f>
        <v>193996174</v>
      </c>
      <c r="M36" s="20">
        <f>IF(M$2&gt;Assumptions!$C$6,M24*((1+Assumptions!$C$4)^(M$2-Assumptions!$C$6)),M24)</f>
        <v>134580257.31999999</v>
      </c>
      <c r="N36" s="20">
        <f>IF(N$2&gt;Assumptions!$C$6,N24*((1+Assumptions!$C$4)^(N$2-Assumptions!$C$6)),N24)</f>
        <v>128037882.22559999</v>
      </c>
      <c r="O36" s="20">
        <f>IF(O$2&gt;Assumptions!$C$6,O24*((1+Assumptions!$C$4)^(O$2-Assumptions!$C$6)),O24)</f>
        <v>131879018.69236799</v>
      </c>
    </row>
    <row r="37" spans="2:17" x14ac:dyDescent="0.25">
      <c r="B37" s="3" t="s">
        <v>12</v>
      </c>
      <c r="C37" s="20">
        <f>IF(C$2&gt;Assumptions!$C$6,C25*((1+Assumptions!$C$4)^(C$2-Assumptions!$C$6)),C25)</f>
        <v>70660000</v>
      </c>
      <c r="D37" s="20">
        <f>IF(D$2&gt;Assumptions!$C$6,D25*((1+Assumptions!$C$4)^(D$2-Assumptions!$C$6)),D25)</f>
        <v>84960000</v>
      </c>
      <c r="E37" s="20">
        <f>IF(E$2&gt;Assumptions!$C$6,E25*((1+Assumptions!$C$4)^(E$2-Assumptions!$C$6)),E25)</f>
        <v>98244000</v>
      </c>
      <c r="F37" s="20">
        <f>IF(F$2&gt;Assumptions!$C$6,F25*((1+Assumptions!$C$4)^(F$2-Assumptions!$C$6)),F25)</f>
        <v>107900000</v>
      </c>
      <c r="G37" s="20">
        <f>IF(G$2&gt;Assumptions!$C$6,G25*((1+Assumptions!$C$4)^(G$2-Assumptions!$C$6)),G25)</f>
        <v>113000000</v>
      </c>
      <c r="H37" s="20">
        <f>IF(H$2&gt;Assumptions!$C$6,H25*((1+Assumptions!$C$4)^(H$2-Assumptions!$C$6)),H25)</f>
        <v>139800000</v>
      </c>
      <c r="I37" s="20">
        <f>IF(I$2&gt;Assumptions!$C$6,I25*((1+Assumptions!$C$4)^(I$2-Assumptions!$C$6)),I25)</f>
        <v>159460000</v>
      </c>
      <c r="J37" s="20">
        <f>IF(J$2&gt;Assumptions!$C$6,J25*((1+Assumptions!$C$4)^(J$2-Assumptions!$C$6)),J25)</f>
        <v>65260000</v>
      </c>
      <c r="K37" s="20">
        <f>IF(K$2&gt;Assumptions!$C$6,K25*((1+Assumptions!$C$4)^(K$2-Assumptions!$C$6)),K25)</f>
        <v>160020800</v>
      </c>
      <c r="L37" s="20">
        <f>IF(L$2&gt;Assumptions!$C$6,L25*((1+Assumptions!$C$4)^(L$2-Assumptions!$C$6)),L25)</f>
        <v>164821424</v>
      </c>
      <c r="M37" s="20">
        <f>IF(M$2&gt;Assumptions!$C$6,M25*((1+Assumptions!$C$4)^(M$2-Assumptions!$C$6)),M25)</f>
        <v>169766066.72</v>
      </c>
      <c r="N37" s="20">
        <f>IF(N$2&gt;Assumptions!$C$6,N25*((1+Assumptions!$C$4)^(N$2-Assumptions!$C$6)),N25)</f>
        <v>244640594.94159999</v>
      </c>
      <c r="O37" s="20">
        <f>IF(O$2&gt;Assumptions!$C$6,O25*((1+Assumptions!$C$4)^(O$2-Assumptions!$C$6)),O25)</f>
        <v>251979812.78984797</v>
      </c>
    </row>
    <row r="38" spans="2:17" x14ac:dyDescent="0.25">
      <c r="B38" s="3" t="s">
        <v>13</v>
      </c>
      <c r="C38" s="20">
        <f>IF(C$2&gt;Assumptions!$C$6,C26*((1+Assumptions!$C$4)^(C$2-Assumptions!$C$6)),C26)</f>
        <v>125000000</v>
      </c>
      <c r="D38" s="20">
        <f>IF(D$2&gt;Assumptions!$C$6,D26*((1+Assumptions!$C$4)^(D$2-Assumptions!$C$6)),D26)</f>
        <v>109893000</v>
      </c>
      <c r="E38" s="20">
        <f>IF(E$2&gt;Assumptions!$C$6,E26*((1+Assumptions!$C$4)^(E$2-Assumptions!$C$6)),E26)</f>
        <v>110000000</v>
      </c>
      <c r="F38" s="20">
        <f>IF(F$2&gt;Assumptions!$C$6,F26*((1+Assumptions!$C$4)^(F$2-Assumptions!$C$6)),F26)</f>
        <v>120000000</v>
      </c>
      <c r="G38" s="20">
        <f>IF(G$2&gt;Assumptions!$C$6,G26*((1+Assumptions!$C$4)^(G$2-Assumptions!$C$6)),G26)</f>
        <v>120000000</v>
      </c>
      <c r="H38" s="20">
        <f>IF(H$2&gt;Assumptions!$C$6,H26*((1+Assumptions!$C$4)^(H$2-Assumptions!$C$6)),H26)</f>
        <v>120000000</v>
      </c>
      <c r="I38" s="20">
        <f>IF(I$2&gt;Assumptions!$C$6,I26*((1+Assumptions!$C$4)^(I$2-Assumptions!$C$6)),I26)</f>
        <v>328000000</v>
      </c>
      <c r="J38" s="20">
        <f>IF(J$2&gt;Assumptions!$C$6,J26*((1+Assumptions!$C$4)^(J$2-Assumptions!$C$6)),J26)</f>
        <v>250550000</v>
      </c>
      <c r="K38" s="20">
        <f>IF(K$2&gt;Assumptions!$C$6,K26*((1+Assumptions!$C$4)^(K$2-Assumptions!$C$6)),K26)</f>
        <v>318579000</v>
      </c>
      <c r="L38" s="20">
        <f>IF(L$2&gt;Assumptions!$C$6,L26*((1+Assumptions!$C$4)^(L$2-Assumptions!$C$6)),L26)</f>
        <v>325271940</v>
      </c>
      <c r="M38" s="20">
        <f>IF(M$2&gt;Assumptions!$C$6,M26*((1+Assumptions!$C$4)^(M$2-Assumptions!$C$6)),M26)</f>
        <v>207945948.09999999</v>
      </c>
      <c r="N38" s="20">
        <f>IF(N$2&gt;Assumptions!$C$6,N26*((1+Assumptions!$C$4)^(N$2-Assumptions!$C$6)),N26)</f>
        <v>339115804.45299995</v>
      </c>
      <c r="O38" s="20">
        <f>IF(O$2&gt;Assumptions!$C$6,O26*((1+Assumptions!$C$4)^(O$2-Assumptions!$C$6)),O26)</f>
        <v>381748952.66698992</v>
      </c>
    </row>
    <row r="40" spans="2:17" x14ac:dyDescent="0.25">
      <c r="B40" s="11" t="s">
        <v>14</v>
      </c>
      <c r="C40" s="12">
        <f>SUM(C34:C39)</f>
        <v>260353000</v>
      </c>
      <c r="D40" s="12">
        <f t="shared" ref="D40:O40" si="37">SUM(D34:D39)</f>
        <v>284041000</v>
      </c>
      <c r="E40" s="12">
        <f t="shared" si="37"/>
        <v>301629000</v>
      </c>
      <c r="F40" s="12">
        <f t="shared" si="37"/>
        <v>353658000</v>
      </c>
      <c r="G40" s="12">
        <f t="shared" si="37"/>
        <v>353705000</v>
      </c>
      <c r="H40" s="12">
        <f t="shared" si="37"/>
        <v>400907000</v>
      </c>
      <c r="I40" s="12">
        <f t="shared" si="37"/>
        <v>611520000</v>
      </c>
      <c r="J40" s="12">
        <f t="shared" si="37"/>
        <v>377165000</v>
      </c>
      <c r="K40" s="12">
        <f t="shared" si="37"/>
        <v>618299730</v>
      </c>
      <c r="L40" s="12">
        <f t="shared" si="37"/>
        <v>707585290.29999995</v>
      </c>
      <c r="M40" s="12">
        <f t="shared" si="37"/>
        <v>534609035.66100001</v>
      </c>
      <c r="N40" s="12">
        <f t="shared" si="37"/>
        <v>732840170.85838997</v>
      </c>
      <c r="O40" s="12">
        <f t="shared" si="37"/>
        <v>785286461.56044841</v>
      </c>
    </row>
    <row r="42" spans="2:17" x14ac:dyDescent="0.25">
      <c r="B42" s="11" t="s">
        <v>21</v>
      </c>
      <c r="C42" s="12">
        <f>C40-C28</f>
        <v>0</v>
      </c>
      <c r="D42" s="12">
        <f t="shared" ref="D42:O42" si="38">D40-D28</f>
        <v>0</v>
      </c>
      <c r="E42" s="12">
        <f t="shared" si="38"/>
        <v>0</v>
      </c>
      <c r="F42" s="12">
        <f t="shared" si="38"/>
        <v>0</v>
      </c>
      <c r="G42" s="12">
        <f t="shared" si="38"/>
        <v>0</v>
      </c>
      <c r="H42" s="12">
        <f t="shared" si="38"/>
        <v>0</v>
      </c>
      <c r="I42" s="12">
        <f t="shared" si="38"/>
        <v>0</v>
      </c>
      <c r="J42" s="12">
        <f t="shared" si="38"/>
        <v>0</v>
      </c>
      <c r="K42" s="12">
        <f t="shared" si="38"/>
        <v>18008730</v>
      </c>
      <c r="L42" s="12">
        <f t="shared" si="38"/>
        <v>40618290.299999952</v>
      </c>
      <c r="M42" s="12">
        <f t="shared" si="38"/>
        <v>45366035.661000013</v>
      </c>
      <c r="N42" s="12">
        <f t="shared" si="38"/>
        <v>81721170.858389974</v>
      </c>
      <c r="O42" s="12">
        <f t="shared" si="38"/>
        <v>107891461.56044841</v>
      </c>
    </row>
    <row r="44" spans="2:17" x14ac:dyDescent="0.25">
      <c r="B44" s="2" t="s">
        <v>65</v>
      </c>
    </row>
    <row r="45" spans="2:17" x14ac:dyDescent="0.25">
      <c r="B45" s="3" t="s">
        <v>8</v>
      </c>
    </row>
    <row r="46" spans="2:17" x14ac:dyDescent="0.25">
      <c r="B46" s="14" t="s">
        <v>20</v>
      </c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2:17" x14ac:dyDescent="0.25">
      <c r="B47" s="14" t="s">
        <v>10</v>
      </c>
      <c r="C47" s="37"/>
      <c r="D47" s="37"/>
      <c r="E47" s="37"/>
      <c r="F47" s="37"/>
      <c r="G47" s="37"/>
      <c r="H47" s="37">
        <v>-7024577</v>
      </c>
      <c r="I47" s="37">
        <f>-H47</f>
        <v>7024577</v>
      </c>
      <c r="J47" s="37"/>
      <c r="K47" s="37"/>
      <c r="L47" s="37"/>
      <c r="M47" s="37"/>
      <c r="N47" s="37"/>
      <c r="O47" s="37"/>
      <c r="Q47" s="1" t="s">
        <v>64</v>
      </c>
    </row>
    <row r="48" spans="2:17" x14ac:dyDescent="0.25">
      <c r="B48" s="3" t="s">
        <v>11</v>
      </c>
      <c r="C48" s="37"/>
      <c r="D48" s="37"/>
      <c r="E48" s="37"/>
      <c r="F48" s="37"/>
      <c r="G48" s="37"/>
      <c r="H48" s="37"/>
      <c r="I48" s="37">
        <v>-84000000</v>
      </c>
      <c r="J48" s="37">
        <f>-I48</f>
        <v>84000000</v>
      </c>
      <c r="K48" s="37"/>
      <c r="L48" s="37"/>
      <c r="M48" s="37"/>
      <c r="N48" s="37"/>
      <c r="O48" s="37"/>
      <c r="Q48" s="1" t="s">
        <v>63</v>
      </c>
    </row>
    <row r="49" spans="2:17" x14ac:dyDescent="0.25">
      <c r="B49" s="3" t="s">
        <v>12</v>
      </c>
      <c r="C49" s="37"/>
      <c r="D49" s="37"/>
      <c r="E49" s="37"/>
      <c r="F49" s="37"/>
      <c r="G49" s="37"/>
      <c r="H49" s="37"/>
      <c r="I49" s="37">
        <v>-148000000</v>
      </c>
      <c r="J49" s="37">
        <f>-I49</f>
        <v>148000000</v>
      </c>
      <c r="K49" s="37"/>
      <c r="L49" s="37"/>
      <c r="M49" s="37"/>
      <c r="N49" s="37"/>
      <c r="O49" s="37"/>
      <c r="Q49" s="1" t="s">
        <v>63</v>
      </c>
    </row>
    <row r="50" spans="2:17" x14ac:dyDescent="0.25">
      <c r="B50" s="3" t="s">
        <v>13</v>
      </c>
      <c r="C50" s="37"/>
      <c r="D50" s="37"/>
      <c r="E50" s="37"/>
      <c r="F50" s="37"/>
      <c r="G50" s="37"/>
      <c r="H50" s="37"/>
      <c r="I50" s="37">
        <v>-120000000</v>
      </c>
      <c r="J50" s="37">
        <f>-I50</f>
        <v>120000000</v>
      </c>
      <c r="K50" s="37"/>
      <c r="L50" s="37"/>
      <c r="M50" s="37"/>
      <c r="N50" s="37"/>
      <c r="O50" s="37"/>
      <c r="Q50" s="1" t="s">
        <v>63</v>
      </c>
    </row>
    <row r="52" spans="2:17" x14ac:dyDescent="0.25">
      <c r="B52" s="2" t="s">
        <v>66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2:17" x14ac:dyDescent="0.25">
      <c r="B53" s="3" t="s">
        <v>8</v>
      </c>
    </row>
    <row r="54" spans="2:17" x14ac:dyDescent="0.25">
      <c r="B54" s="14" t="s">
        <v>9</v>
      </c>
      <c r="C54" s="4">
        <f t="shared" ref="C54:O54" si="39">C34+C46</f>
        <v>26633000</v>
      </c>
      <c r="D54" s="4">
        <f t="shared" si="39"/>
        <v>30128000</v>
      </c>
      <c r="E54" s="4">
        <f t="shared" si="39"/>
        <v>34325000</v>
      </c>
      <c r="F54" s="4">
        <f t="shared" si="39"/>
        <v>35698000</v>
      </c>
      <c r="G54" s="4">
        <f t="shared" si="39"/>
        <v>19645000</v>
      </c>
      <c r="H54" s="4">
        <f t="shared" si="39"/>
        <v>16047000</v>
      </c>
      <c r="I54" s="4">
        <f t="shared" si="39"/>
        <v>14000000</v>
      </c>
      <c r="J54" s="4">
        <f t="shared" si="39"/>
        <v>13595000</v>
      </c>
      <c r="K54" s="4">
        <f t="shared" si="39"/>
        <v>12227130</v>
      </c>
      <c r="L54" s="4">
        <f t="shared" si="39"/>
        <v>10764952.299999999</v>
      </c>
      <c r="M54" s="4">
        <f t="shared" si="39"/>
        <v>9204039.5209999997</v>
      </c>
      <c r="N54" s="4">
        <f t="shared" si="39"/>
        <v>7539783.5181899993</v>
      </c>
      <c r="O54" s="4">
        <f t="shared" si="39"/>
        <v>5767388.5196424993</v>
      </c>
    </row>
    <row r="55" spans="2:17" x14ac:dyDescent="0.25">
      <c r="B55" s="14" t="s">
        <v>10</v>
      </c>
      <c r="C55" s="4">
        <f t="shared" ref="C55:O55" si="40">C35+C47</f>
        <v>2000000</v>
      </c>
      <c r="D55" s="4">
        <f t="shared" si="40"/>
        <v>10000000</v>
      </c>
      <c r="E55" s="4">
        <f t="shared" si="40"/>
        <v>8000000</v>
      </c>
      <c r="F55" s="4">
        <f t="shared" si="40"/>
        <v>15000000</v>
      </c>
      <c r="G55" s="4">
        <f t="shared" si="40"/>
        <v>12000000</v>
      </c>
      <c r="H55" s="4">
        <f t="shared" si="40"/>
        <v>4975423</v>
      </c>
      <c r="I55" s="4">
        <f t="shared" si="40"/>
        <v>19024577</v>
      </c>
      <c r="J55" s="4">
        <f t="shared" si="40"/>
        <v>12000000</v>
      </c>
      <c r="K55" s="4">
        <f t="shared" si="40"/>
        <v>12360000</v>
      </c>
      <c r="L55" s="4">
        <f t="shared" si="40"/>
        <v>12730800</v>
      </c>
      <c r="M55" s="4">
        <f t="shared" si="40"/>
        <v>13112724</v>
      </c>
      <c r="N55" s="4">
        <f t="shared" si="40"/>
        <v>13506105.719999999</v>
      </c>
      <c r="O55" s="4">
        <f t="shared" si="40"/>
        <v>13911288.891599998</v>
      </c>
    </row>
    <row r="56" spans="2:17" x14ac:dyDescent="0.25">
      <c r="B56" s="3" t="s">
        <v>11</v>
      </c>
      <c r="C56" s="4">
        <f t="shared" ref="C56:O56" si="41">C36+C48</f>
        <v>36060000</v>
      </c>
      <c r="D56" s="4">
        <f t="shared" si="41"/>
        <v>49060000</v>
      </c>
      <c r="E56" s="4">
        <f t="shared" si="41"/>
        <v>51060000</v>
      </c>
      <c r="F56" s="4">
        <f t="shared" si="41"/>
        <v>75060000</v>
      </c>
      <c r="G56" s="4">
        <f t="shared" si="41"/>
        <v>89060000</v>
      </c>
      <c r="H56" s="4">
        <f t="shared" si="41"/>
        <v>113060000</v>
      </c>
      <c r="I56" s="4">
        <f t="shared" si="41"/>
        <v>14060000</v>
      </c>
      <c r="J56" s="4">
        <f t="shared" si="41"/>
        <v>119760000</v>
      </c>
      <c r="K56" s="4">
        <f t="shared" si="41"/>
        <v>115112800</v>
      </c>
      <c r="L56" s="4">
        <f t="shared" si="41"/>
        <v>193996174</v>
      </c>
      <c r="M56" s="4">
        <f t="shared" si="41"/>
        <v>134580257.31999999</v>
      </c>
      <c r="N56" s="4">
        <f t="shared" si="41"/>
        <v>128037882.22559999</v>
      </c>
      <c r="O56" s="4">
        <f t="shared" si="41"/>
        <v>131879018.69236799</v>
      </c>
    </row>
    <row r="57" spans="2:17" x14ac:dyDescent="0.25">
      <c r="B57" s="3" t="s">
        <v>12</v>
      </c>
      <c r="C57" s="4">
        <f t="shared" ref="C57:O57" si="42">C37+C49</f>
        <v>70660000</v>
      </c>
      <c r="D57" s="4">
        <f t="shared" si="42"/>
        <v>84960000</v>
      </c>
      <c r="E57" s="4">
        <f t="shared" si="42"/>
        <v>98244000</v>
      </c>
      <c r="F57" s="4">
        <f t="shared" si="42"/>
        <v>107900000</v>
      </c>
      <c r="G57" s="4">
        <f t="shared" si="42"/>
        <v>113000000</v>
      </c>
      <c r="H57" s="4">
        <f t="shared" si="42"/>
        <v>139800000</v>
      </c>
      <c r="I57" s="4">
        <f t="shared" si="42"/>
        <v>11460000</v>
      </c>
      <c r="J57" s="4">
        <f t="shared" si="42"/>
        <v>213260000</v>
      </c>
      <c r="K57" s="4">
        <f t="shared" si="42"/>
        <v>160020800</v>
      </c>
      <c r="L57" s="4">
        <f t="shared" si="42"/>
        <v>164821424</v>
      </c>
      <c r="M57" s="4">
        <f t="shared" si="42"/>
        <v>169766066.72</v>
      </c>
      <c r="N57" s="4">
        <f t="shared" si="42"/>
        <v>244640594.94159999</v>
      </c>
      <c r="O57" s="4">
        <f t="shared" si="42"/>
        <v>251979812.78984797</v>
      </c>
    </row>
    <row r="58" spans="2:17" x14ac:dyDescent="0.25">
      <c r="B58" s="3" t="s">
        <v>13</v>
      </c>
      <c r="C58" s="4">
        <f t="shared" ref="C58:O58" si="43">C38+C50</f>
        <v>125000000</v>
      </c>
      <c r="D58" s="4">
        <f t="shared" si="43"/>
        <v>109893000</v>
      </c>
      <c r="E58" s="4">
        <f t="shared" si="43"/>
        <v>110000000</v>
      </c>
      <c r="F58" s="4">
        <f t="shared" si="43"/>
        <v>120000000</v>
      </c>
      <c r="G58" s="4">
        <f t="shared" si="43"/>
        <v>120000000</v>
      </c>
      <c r="H58" s="4">
        <f t="shared" si="43"/>
        <v>120000000</v>
      </c>
      <c r="I58" s="4">
        <f t="shared" si="43"/>
        <v>208000000</v>
      </c>
      <c r="J58" s="4">
        <f t="shared" si="43"/>
        <v>370550000</v>
      </c>
      <c r="K58" s="4">
        <f t="shared" si="43"/>
        <v>318579000</v>
      </c>
      <c r="L58" s="4">
        <f t="shared" si="43"/>
        <v>325271940</v>
      </c>
      <c r="M58" s="4">
        <f t="shared" si="43"/>
        <v>207945948.09999999</v>
      </c>
      <c r="N58" s="4">
        <f t="shared" si="43"/>
        <v>339115804.45299995</v>
      </c>
      <c r="O58" s="4">
        <f t="shared" si="43"/>
        <v>381748952.66698992</v>
      </c>
    </row>
    <row r="59" spans="2:17" x14ac:dyDescent="0.25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2:17" x14ac:dyDescent="0.25">
      <c r="B60" s="11" t="s">
        <v>14</v>
      </c>
      <c r="C60" s="12">
        <f>SUM(C54:C59)</f>
        <v>260353000</v>
      </c>
      <c r="D60" s="12">
        <f t="shared" ref="D60:N60" si="44">SUM(D54:D59)</f>
        <v>284041000</v>
      </c>
      <c r="E60" s="12">
        <f t="shared" si="44"/>
        <v>301629000</v>
      </c>
      <c r="F60" s="12">
        <f t="shared" si="44"/>
        <v>353658000</v>
      </c>
      <c r="G60" s="12">
        <f t="shared" si="44"/>
        <v>353705000</v>
      </c>
      <c r="H60" s="12">
        <f t="shared" si="44"/>
        <v>393882423</v>
      </c>
      <c r="I60" s="12">
        <f t="shared" si="44"/>
        <v>266544577</v>
      </c>
      <c r="J60" s="12">
        <f t="shared" si="44"/>
        <v>729165000</v>
      </c>
      <c r="K60" s="12">
        <f t="shared" si="44"/>
        <v>618299730</v>
      </c>
      <c r="L60" s="12">
        <f t="shared" si="44"/>
        <v>707585290.29999995</v>
      </c>
      <c r="M60" s="12">
        <f t="shared" si="44"/>
        <v>534609035.66100001</v>
      </c>
      <c r="N60" s="12">
        <f t="shared" si="44"/>
        <v>732840170.85838997</v>
      </c>
      <c r="O60" s="12">
        <f>SUM(O54:O59)</f>
        <v>785286461.56044841</v>
      </c>
    </row>
    <row r="61" spans="2:17" x14ac:dyDescent="0.25">
      <c r="B61" s="41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</row>
    <row r="62" spans="2:17" x14ac:dyDescent="0.25">
      <c r="B62" s="13" t="s">
        <v>51</v>
      </c>
      <c r="C62" s="12">
        <f>C60-C40</f>
        <v>0</v>
      </c>
      <c r="D62" s="12">
        <f t="shared" ref="D62:O62" si="45">D60-D40</f>
        <v>0</v>
      </c>
      <c r="E62" s="12">
        <f t="shared" si="45"/>
        <v>0</v>
      </c>
      <c r="F62" s="12">
        <f t="shared" si="45"/>
        <v>0</v>
      </c>
      <c r="G62" s="12">
        <f t="shared" si="45"/>
        <v>0</v>
      </c>
      <c r="H62" s="12">
        <f t="shared" si="45"/>
        <v>-7024577</v>
      </c>
      <c r="I62" s="12">
        <f t="shared" si="45"/>
        <v>-344975423</v>
      </c>
      <c r="J62" s="12">
        <f t="shared" si="45"/>
        <v>352000000</v>
      </c>
      <c r="K62" s="12">
        <f t="shared" si="45"/>
        <v>0</v>
      </c>
      <c r="L62" s="12">
        <f t="shared" si="45"/>
        <v>0</v>
      </c>
      <c r="M62" s="12">
        <f t="shared" si="45"/>
        <v>0</v>
      </c>
      <c r="N62" s="12">
        <f t="shared" si="45"/>
        <v>0</v>
      </c>
      <c r="O62" s="12">
        <f t="shared" si="45"/>
        <v>0</v>
      </c>
    </row>
    <row r="63" spans="2:17" x14ac:dyDescent="0.25"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2:17" x14ac:dyDescent="0.25">
      <c r="B64" s="2" t="s">
        <v>67</v>
      </c>
    </row>
    <row r="65" spans="2:17" x14ac:dyDescent="0.25">
      <c r="B65" s="3" t="s">
        <v>8</v>
      </c>
    </row>
    <row r="66" spans="2:17" x14ac:dyDescent="0.25">
      <c r="B66" s="14" t="s">
        <v>9</v>
      </c>
      <c r="C66" s="4">
        <f>C54*Assumptions!$C$8</f>
        <v>26633000</v>
      </c>
      <c r="D66" s="4">
        <f>D54*Assumptions!$C$8</f>
        <v>30128000</v>
      </c>
      <c r="E66" s="4">
        <f>E54*Assumptions!$C$8</f>
        <v>34325000</v>
      </c>
      <c r="F66" s="4">
        <f>F54*Assumptions!$C$8</f>
        <v>35698000</v>
      </c>
      <c r="G66" s="4">
        <f>G54*Assumptions!$C$8</f>
        <v>19645000</v>
      </c>
      <c r="H66" s="4">
        <f>H54*Assumptions!$C$8</f>
        <v>16047000</v>
      </c>
      <c r="I66" s="4">
        <f>I54*Assumptions!$C$8</f>
        <v>14000000</v>
      </c>
      <c r="J66" s="4">
        <f>J54*Assumptions!$C$8</f>
        <v>13595000</v>
      </c>
      <c r="K66" s="4">
        <f>K54*Assumptions!$C$8</f>
        <v>12227130</v>
      </c>
      <c r="L66" s="4">
        <f>L54*Assumptions!$C$8</f>
        <v>10764952.299999999</v>
      </c>
      <c r="M66" s="4">
        <f>M54*Assumptions!$C$8</f>
        <v>9204039.5209999997</v>
      </c>
      <c r="N66" s="4">
        <f>N54*Assumptions!$C$8</f>
        <v>7539783.5181899993</v>
      </c>
      <c r="O66" s="4">
        <f>O54*Assumptions!$C$8</f>
        <v>5767388.5196424993</v>
      </c>
    </row>
    <row r="67" spans="2:17" x14ac:dyDescent="0.25">
      <c r="B67" s="14" t="s">
        <v>10</v>
      </c>
      <c r="C67" s="4">
        <f>C55*Assumptions!$C$8</f>
        <v>2000000</v>
      </c>
      <c r="D67" s="4">
        <f>D55*Assumptions!$C$8</f>
        <v>10000000</v>
      </c>
      <c r="E67" s="4">
        <f>E55*Assumptions!$C$8</f>
        <v>8000000</v>
      </c>
      <c r="F67" s="4">
        <f>F55*Assumptions!$C$8</f>
        <v>15000000</v>
      </c>
      <c r="G67" s="4">
        <f>G55*Assumptions!$C$8</f>
        <v>12000000</v>
      </c>
      <c r="H67" s="4">
        <f>H55*Assumptions!$C$8</f>
        <v>4975423</v>
      </c>
      <c r="I67" s="4">
        <f>I55*Assumptions!$C$8</f>
        <v>19024577</v>
      </c>
      <c r="J67" s="4">
        <f>J55*Assumptions!$C$8</f>
        <v>12000000</v>
      </c>
      <c r="K67" s="4">
        <f>K55*Assumptions!$C$8</f>
        <v>12360000</v>
      </c>
      <c r="L67" s="4">
        <f>L55*Assumptions!$C$8</f>
        <v>12730800</v>
      </c>
      <c r="M67" s="4">
        <f>M55*Assumptions!$C$8</f>
        <v>13112724</v>
      </c>
      <c r="N67" s="4">
        <f>N55*Assumptions!$C$8</f>
        <v>13506105.719999999</v>
      </c>
      <c r="O67" s="4">
        <f>O55*Assumptions!$C$8</f>
        <v>13911288.891599998</v>
      </c>
    </row>
    <row r="68" spans="2:17" x14ac:dyDescent="0.25">
      <c r="B68" s="3" t="s">
        <v>11</v>
      </c>
      <c r="C68" s="4">
        <f>C56*Assumptions!$C$10</f>
        <v>30651000</v>
      </c>
      <c r="D68" s="4">
        <f>D56*Assumptions!$C$10</f>
        <v>41701000</v>
      </c>
      <c r="E68" s="4">
        <f>E56*Assumptions!$C$10</f>
        <v>43401000</v>
      </c>
      <c r="F68" s="4">
        <f>F56*Assumptions!$C$10</f>
        <v>63801000</v>
      </c>
      <c r="G68" s="4">
        <f>G56*Assumptions!$C$10</f>
        <v>75701000</v>
      </c>
      <c r="H68" s="4">
        <f>H56*Assumptions!$C$10</f>
        <v>96101000</v>
      </c>
      <c r="I68" s="4">
        <f>I56*Assumptions!$C$10</f>
        <v>11951000</v>
      </c>
      <c r="J68" s="4">
        <f>J56*Assumptions!$C$10</f>
        <v>101796000</v>
      </c>
      <c r="K68" s="4">
        <f>K56*Assumptions!$C$10</f>
        <v>97845880</v>
      </c>
      <c r="L68" s="4">
        <f>L56*Assumptions!$C$10</f>
        <v>164896747.90000001</v>
      </c>
      <c r="M68" s="4">
        <f>M56*Assumptions!$C$10</f>
        <v>114393218.72199999</v>
      </c>
      <c r="N68" s="4">
        <f>N56*Assumptions!$C$10</f>
        <v>108832199.89175999</v>
      </c>
      <c r="O68" s="4">
        <f>O56*Assumptions!$C$10</f>
        <v>112097165.88851279</v>
      </c>
    </row>
    <row r="69" spans="2:17" x14ac:dyDescent="0.25">
      <c r="B69" s="3" t="s">
        <v>12</v>
      </c>
      <c r="C69" s="4">
        <f>C57*Assumptions!$C$10</f>
        <v>60061000</v>
      </c>
      <c r="D69" s="4">
        <f>D57*Assumptions!$C$10</f>
        <v>72216000</v>
      </c>
      <c r="E69" s="4">
        <f>E57*Assumptions!$C$10</f>
        <v>83507400</v>
      </c>
      <c r="F69" s="4">
        <f>F57*Assumptions!$C$10</f>
        <v>91715000</v>
      </c>
      <c r="G69" s="4">
        <f>G57*Assumptions!$C$10</f>
        <v>96050000</v>
      </c>
      <c r="H69" s="4">
        <f>H57*Assumptions!$C$10</f>
        <v>118830000</v>
      </c>
      <c r="I69" s="4">
        <f>I57*Assumptions!$C$10</f>
        <v>9741000</v>
      </c>
      <c r="J69" s="4">
        <f>J57*Assumptions!$C$10</f>
        <v>181271000</v>
      </c>
      <c r="K69" s="4">
        <f>K57*Assumptions!$C$10</f>
        <v>136017680</v>
      </c>
      <c r="L69" s="4">
        <f>L57*Assumptions!$C$10</f>
        <v>140098210.40000001</v>
      </c>
      <c r="M69" s="4">
        <f>M57*Assumptions!$C$10</f>
        <v>144301156.71199998</v>
      </c>
      <c r="N69" s="4">
        <f>N57*Assumptions!$C$10</f>
        <v>207944505.70036</v>
      </c>
      <c r="O69" s="4">
        <f>O57*Assumptions!$C$10</f>
        <v>214182840.87137076</v>
      </c>
    </row>
    <row r="70" spans="2:17" x14ac:dyDescent="0.25">
      <c r="B70" s="3" t="s">
        <v>13</v>
      </c>
      <c r="C70" s="4">
        <f>C58*Assumptions!$C$10</f>
        <v>106250000</v>
      </c>
      <c r="D70" s="4">
        <f>D58*Assumptions!$C$10</f>
        <v>93409050</v>
      </c>
      <c r="E70" s="4">
        <f>E58*Assumptions!$C$10</f>
        <v>93500000</v>
      </c>
      <c r="F70" s="4">
        <f>F58*Assumptions!$C$10</f>
        <v>102000000</v>
      </c>
      <c r="G70" s="4">
        <f>G58*Assumptions!$C$10</f>
        <v>102000000</v>
      </c>
      <c r="H70" s="4">
        <f>H58*Assumptions!$C$10</f>
        <v>102000000</v>
      </c>
      <c r="I70" s="4">
        <f>I58*Assumptions!$C$10</f>
        <v>176800000</v>
      </c>
      <c r="J70" s="4">
        <f>J58*Assumptions!$C$10</f>
        <v>314967500</v>
      </c>
      <c r="K70" s="4">
        <f>K58*Assumptions!$C$10</f>
        <v>270792150</v>
      </c>
      <c r="L70" s="4">
        <f>L58*Assumptions!$C$10</f>
        <v>276481149</v>
      </c>
      <c r="M70" s="4">
        <f>M58*Assumptions!$C$10</f>
        <v>176754055.88499999</v>
      </c>
      <c r="N70" s="4">
        <f>N58*Assumptions!$C$10</f>
        <v>288248433.78504997</v>
      </c>
      <c r="O70" s="4">
        <f>O58*Assumptions!$C$10</f>
        <v>324486609.76694143</v>
      </c>
    </row>
    <row r="72" spans="2:17" x14ac:dyDescent="0.25">
      <c r="B72" s="11" t="s">
        <v>14</v>
      </c>
      <c r="C72" s="12">
        <f t="shared" ref="C72:M72" si="46">SUM(C66:C71)</f>
        <v>225595000</v>
      </c>
      <c r="D72" s="12">
        <f t="shared" si="46"/>
        <v>247454050</v>
      </c>
      <c r="E72" s="12">
        <f t="shared" si="46"/>
        <v>262733400</v>
      </c>
      <c r="F72" s="12">
        <f t="shared" si="46"/>
        <v>308214000</v>
      </c>
      <c r="G72" s="12">
        <f t="shared" si="46"/>
        <v>305396000</v>
      </c>
      <c r="H72" s="12">
        <f t="shared" si="46"/>
        <v>337953423</v>
      </c>
      <c r="I72" s="12">
        <f t="shared" si="46"/>
        <v>231516577</v>
      </c>
      <c r="J72" s="12">
        <f t="shared" si="46"/>
        <v>623629500</v>
      </c>
      <c r="K72" s="12">
        <f t="shared" si="46"/>
        <v>529242840</v>
      </c>
      <c r="L72" s="12">
        <f t="shared" si="46"/>
        <v>604971859.60000002</v>
      </c>
      <c r="M72" s="12">
        <f t="shared" si="46"/>
        <v>457765194.83999991</v>
      </c>
      <c r="N72" s="12">
        <f t="shared" ref="N72:O72" si="47">SUM(N66:N71)</f>
        <v>626071028.61536002</v>
      </c>
      <c r="O72" s="12">
        <f t="shared" si="47"/>
        <v>670445293.93806744</v>
      </c>
      <c r="Q72" s="4"/>
    </row>
    <row r="74" spans="2:17" x14ac:dyDescent="0.25">
      <c r="B74" s="11" t="s">
        <v>58</v>
      </c>
      <c r="C74" s="12">
        <f>C72-C60</f>
        <v>-34758000</v>
      </c>
      <c r="D74" s="12">
        <f t="shared" ref="D74:O74" si="48">D72-D60</f>
        <v>-36586950</v>
      </c>
      <c r="E74" s="12">
        <f t="shared" si="48"/>
        <v>-38895600</v>
      </c>
      <c r="F74" s="12">
        <f t="shared" si="48"/>
        <v>-45444000</v>
      </c>
      <c r="G74" s="12">
        <f t="shared" si="48"/>
        <v>-48309000</v>
      </c>
      <c r="H74" s="12">
        <f t="shared" si="48"/>
        <v>-55929000</v>
      </c>
      <c r="I74" s="12">
        <f t="shared" si="48"/>
        <v>-35028000</v>
      </c>
      <c r="J74" s="12">
        <f t="shared" si="48"/>
        <v>-105535500</v>
      </c>
      <c r="K74" s="12">
        <f t="shared" si="48"/>
        <v>-89056890</v>
      </c>
      <c r="L74" s="12">
        <f t="shared" si="48"/>
        <v>-102613430.69999993</v>
      </c>
      <c r="M74" s="12">
        <f t="shared" si="48"/>
        <v>-76843840.821000099</v>
      </c>
      <c r="N74" s="12">
        <f t="shared" si="48"/>
        <v>-106769142.24302995</v>
      </c>
      <c r="O74" s="12">
        <f t="shared" si="48"/>
        <v>-114841167.62238097</v>
      </c>
    </row>
    <row r="76" spans="2:17" s="15" customFormat="1" x14ac:dyDescent="0.25"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</row>
    <row r="77" spans="2:17" x14ac:dyDescent="0.25">
      <c r="B77" s="2" t="s">
        <v>68</v>
      </c>
    </row>
    <row r="78" spans="2:17" x14ac:dyDescent="0.25">
      <c r="B78" s="3" t="s">
        <v>8</v>
      </c>
    </row>
    <row r="79" spans="2:17" x14ac:dyDescent="0.25">
      <c r="B79" s="14" t="s">
        <v>9</v>
      </c>
      <c r="C79" s="8"/>
      <c r="D79" s="8"/>
      <c r="E79" s="8"/>
      <c r="F79" s="8"/>
      <c r="G79" s="8"/>
      <c r="H79" s="8">
        <f>H66</f>
        <v>16047000</v>
      </c>
      <c r="I79" s="8">
        <f t="shared" ref="I79:M79" si="49">I66</f>
        <v>14000000</v>
      </c>
      <c r="J79" s="8">
        <f t="shared" si="49"/>
        <v>13595000</v>
      </c>
      <c r="K79" s="8">
        <f t="shared" si="49"/>
        <v>12227130</v>
      </c>
      <c r="L79" s="8">
        <f t="shared" si="49"/>
        <v>10764952.299999999</v>
      </c>
      <c r="M79" s="8">
        <f t="shared" si="49"/>
        <v>9204039.5209999997</v>
      </c>
      <c r="N79" s="8">
        <f t="shared" ref="N79:O79" si="50">N66</f>
        <v>7539783.5181899993</v>
      </c>
      <c r="O79" s="8">
        <f t="shared" si="50"/>
        <v>5767388.5196424993</v>
      </c>
      <c r="Q79" s="1" t="s">
        <v>34</v>
      </c>
    </row>
    <row r="80" spans="2:17" x14ac:dyDescent="0.25">
      <c r="B80" s="14" t="s">
        <v>10</v>
      </c>
      <c r="C80" s="8"/>
      <c r="D80" s="8"/>
      <c r="E80" s="8"/>
      <c r="F80" s="8"/>
      <c r="G80" s="8"/>
      <c r="H80" s="8">
        <f>H67</f>
        <v>4975423</v>
      </c>
      <c r="I80" s="8">
        <f t="shared" ref="I80:M80" si="51">I67</f>
        <v>19024577</v>
      </c>
      <c r="J80" s="8">
        <f t="shared" si="51"/>
        <v>12000000</v>
      </c>
      <c r="K80" s="8">
        <f t="shared" si="51"/>
        <v>12360000</v>
      </c>
      <c r="L80" s="8">
        <f t="shared" si="51"/>
        <v>12730800</v>
      </c>
      <c r="M80" s="8">
        <f t="shared" si="51"/>
        <v>13112724</v>
      </c>
      <c r="N80" s="8">
        <f t="shared" ref="N80:O80" si="52">N67</f>
        <v>13506105.719999999</v>
      </c>
      <c r="O80" s="8">
        <f t="shared" si="52"/>
        <v>13911288.891599998</v>
      </c>
      <c r="Q80" s="1" t="s">
        <v>34</v>
      </c>
    </row>
    <row r="81" spans="2:18" x14ac:dyDescent="0.25">
      <c r="B81" s="3" t="s">
        <v>11</v>
      </c>
      <c r="C81" s="8"/>
      <c r="D81" s="8"/>
      <c r="E81" s="8"/>
      <c r="F81" s="8"/>
      <c r="G81" s="8"/>
      <c r="H81" s="8">
        <f>'Conveyance System'!H44</f>
        <v>71584166.666666672</v>
      </c>
      <c r="I81" s="8">
        <f>'Conveyance System'!I44</f>
        <v>68342833.333333328</v>
      </c>
      <c r="J81" s="8">
        <f>'Conveyance System'!J44</f>
        <v>56873500</v>
      </c>
      <c r="K81" s="8">
        <f>'Conveyance System'!K44</f>
        <v>99820940</v>
      </c>
      <c r="L81" s="8">
        <f>'Conveyance System'!L44</f>
        <v>131371313.95</v>
      </c>
      <c r="M81" s="8">
        <f>'Conveyance System'!M44</f>
        <v>139644983.31099999</v>
      </c>
      <c r="N81" s="8">
        <f>'Conveyance System'!N44</f>
        <v>111612709.30688</v>
      </c>
      <c r="O81" s="8">
        <f>'Conveyance System'!O44</f>
        <v>110464682.89013639</v>
      </c>
      <c r="Q81" s="1" t="s">
        <v>35</v>
      </c>
    </row>
    <row r="82" spans="2:18" x14ac:dyDescent="0.25">
      <c r="B82" s="3" t="s">
        <v>12</v>
      </c>
      <c r="C82" s="8"/>
      <c r="D82" s="8"/>
      <c r="E82" s="8"/>
      <c r="F82" s="8"/>
      <c r="G82" s="8"/>
      <c r="H82" s="8">
        <f>'Collector System'!H44</f>
        <v>85165277.777777791</v>
      </c>
      <c r="I82" s="8">
        <f>'Collector System'!I44</f>
        <v>91906722.222222209</v>
      </c>
      <c r="J82" s="8">
        <f>'Collector System'!J44</f>
        <v>103280666.66666666</v>
      </c>
      <c r="K82" s="8">
        <f>'Collector System'!K44</f>
        <v>109009893.33333333</v>
      </c>
      <c r="L82" s="8">
        <f>'Collector System'!L44</f>
        <v>152462296.80000001</v>
      </c>
      <c r="M82" s="8">
        <f>'Collector System'!M44</f>
        <v>140139015.704</v>
      </c>
      <c r="N82" s="8">
        <f>'Collector System'!N44</f>
        <v>164114624.27078667</v>
      </c>
      <c r="O82" s="8">
        <f>'Collector System'!O44</f>
        <v>188809501.09457693</v>
      </c>
      <c r="Q82" s="1" t="s">
        <v>36</v>
      </c>
    </row>
    <row r="83" spans="2:18" x14ac:dyDescent="0.25">
      <c r="B83" s="3" t="s">
        <v>13</v>
      </c>
      <c r="C83" s="8"/>
      <c r="D83" s="8"/>
      <c r="E83" s="8"/>
      <c r="F83" s="8"/>
      <c r="G83" s="8"/>
      <c r="H83" s="8">
        <f>Facilities!H44</f>
        <v>82151508.333333328</v>
      </c>
      <c r="I83" s="8">
        <f>Facilities!I44</f>
        <v>131690301.66666667</v>
      </c>
      <c r="J83" s="8">
        <f>Facilities!J44</f>
        <v>159553500</v>
      </c>
      <c r="K83" s="8">
        <f>Facilities!K44</f>
        <v>193311930</v>
      </c>
      <c r="L83" s="8">
        <f>Facilities!L44</f>
        <v>228208159.80000001</v>
      </c>
      <c r="M83" s="8">
        <f>Facilities!M44</f>
        <v>243158970.977</v>
      </c>
      <c r="N83" s="8">
        <f>Facilities!N44</f>
        <v>265448657.73400998</v>
      </c>
      <c r="O83" s="8">
        <f>Facilities!O44</f>
        <v>267352479.68739825</v>
      </c>
      <c r="Q83" s="1" t="s">
        <v>37</v>
      </c>
    </row>
    <row r="85" spans="2:18" x14ac:dyDescent="0.25">
      <c r="B85" s="11" t="s">
        <v>53</v>
      </c>
      <c r="C85" s="12"/>
      <c r="D85" s="12"/>
      <c r="E85" s="12"/>
      <c r="F85" s="12"/>
      <c r="G85" s="12"/>
      <c r="H85" s="12">
        <f t="shared" ref="H85:M85" si="53">SUM(H79:H84)</f>
        <v>259923375.77777779</v>
      </c>
      <c r="I85" s="12">
        <f t="shared" si="53"/>
        <v>324964434.22222221</v>
      </c>
      <c r="J85" s="12">
        <f t="shared" si="53"/>
        <v>345302666.66666663</v>
      </c>
      <c r="K85" s="12">
        <f t="shared" si="53"/>
        <v>426729893.33333331</v>
      </c>
      <c r="L85" s="12">
        <f t="shared" si="53"/>
        <v>535537522.85000002</v>
      </c>
      <c r="M85" s="12">
        <f t="shared" si="53"/>
        <v>545259733.51300001</v>
      </c>
      <c r="N85" s="12">
        <f t="shared" ref="N85:O85" si="54">SUM(N79:N84)</f>
        <v>562221880.54986668</v>
      </c>
      <c r="O85" s="12">
        <f t="shared" si="54"/>
        <v>586305341.083354</v>
      </c>
      <c r="Q85" s="4"/>
      <c r="R85" s="4"/>
    </row>
    <row r="86" spans="2:18" x14ac:dyDescent="0.25">
      <c r="Q86" s="4"/>
    </row>
    <row r="88" spans="2:18" x14ac:dyDescent="0.25">
      <c r="B88" s="2"/>
    </row>
    <row r="89" spans="2:18" x14ac:dyDescent="0.25">
      <c r="B89" s="3"/>
      <c r="H89" s="4"/>
      <c r="I89" s="4"/>
      <c r="J89" s="4"/>
      <c r="K89" s="4"/>
      <c r="L89" s="4"/>
      <c r="M89" s="4"/>
      <c r="N89" s="4"/>
    </row>
    <row r="90" spans="2:18" x14ac:dyDescent="0.25">
      <c r="B90" s="14"/>
    </row>
    <row r="91" spans="2:18" x14ac:dyDescent="0.25">
      <c r="B91" s="14"/>
    </row>
    <row r="92" spans="2:18" x14ac:dyDescent="0.25">
      <c r="B92" s="3"/>
    </row>
    <row r="93" spans="2:18" x14ac:dyDescent="0.25">
      <c r="B93" s="3"/>
    </row>
    <row r="94" spans="2:18" x14ac:dyDescent="0.25">
      <c r="B94" s="3"/>
    </row>
    <row r="96" spans="2:18" x14ac:dyDescent="0.25">
      <c r="R96" s="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0C43-A307-469A-8A73-6D63409D8503}">
  <sheetPr>
    <tabColor theme="8" tint="0.39997558519241921"/>
  </sheetPr>
  <dimension ref="B2:Y51"/>
  <sheetViews>
    <sheetView workbookViewId="0">
      <pane xSplit="2" ySplit="2" topLeftCell="C3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ColWidth="9.28515625" defaultRowHeight="15" x14ac:dyDescent="0.25"/>
  <cols>
    <col min="1" max="1" width="9.28515625" style="1"/>
    <col min="2" max="2" width="34.5703125" style="1" customWidth="1"/>
    <col min="3" max="15" width="15.42578125" style="1" customWidth="1"/>
    <col min="16" max="21" width="9.28515625" style="1"/>
    <col min="22" max="22" width="12.42578125" style="1" bestFit="1" customWidth="1"/>
    <col min="23" max="23" width="11.7109375" style="1" bestFit="1" customWidth="1"/>
    <col min="24" max="16384" width="9.28515625" style="1"/>
  </cols>
  <sheetData>
    <row r="2" spans="2:23" x14ac:dyDescent="0.25">
      <c r="B2" s="9" t="str">
        <f ca="1">MID(CELL("filename",A1),FIND("]",CELL("filename",A1))+1,256)</f>
        <v>Conveyance System</v>
      </c>
      <c r="C2" s="38">
        <f t="shared" ref="C2:F2" si="0">+D2-1</f>
        <v>2015</v>
      </c>
      <c r="D2" s="38">
        <f t="shared" si="0"/>
        <v>2016</v>
      </c>
      <c r="E2" s="38">
        <f t="shared" si="0"/>
        <v>2017</v>
      </c>
      <c r="F2" s="38">
        <f t="shared" si="0"/>
        <v>2018</v>
      </c>
      <c r="G2" s="38">
        <v>2019</v>
      </c>
      <c r="H2" s="38">
        <f>+G2+1</f>
        <v>2020</v>
      </c>
      <c r="I2" s="38">
        <f t="shared" ref="I2:M2" si="1">+H2+1</f>
        <v>2021</v>
      </c>
      <c r="J2" s="38">
        <f t="shared" si="1"/>
        <v>2022</v>
      </c>
      <c r="K2" s="38">
        <f t="shared" si="1"/>
        <v>2023</v>
      </c>
      <c r="L2" s="38">
        <f t="shared" si="1"/>
        <v>2024</v>
      </c>
      <c r="M2" s="38">
        <f t="shared" si="1"/>
        <v>2025</v>
      </c>
      <c r="N2" s="38">
        <f t="shared" ref="N2" si="2">+M2+1</f>
        <v>2026</v>
      </c>
      <c r="O2" s="38">
        <f t="shared" ref="O2" si="3">+N2+1</f>
        <v>2027</v>
      </c>
    </row>
    <row r="4" spans="2:23" x14ac:dyDescent="0.25">
      <c r="B4" s="2" t="s">
        <v>7</v>
      </c>
      <c r="C4" s="4">
        <f>'PWD CIP'!C$68</f>
        <v>30651000</v>
      </c>
      <c r="D4" s="4">
        <f>'PWD CIP'!D$68</f>
        <v>41701000</v>
      </c>
      <c r="E4" s="4">
        <f>'PWD CIP'!E$68</f>
        <v>43401000</v>
      </c>
      <c r="F4" s="4">
        <f>'PWD CIP'!F$68</f>
        <v>63801000</v>
      </c>
      <c r="G4" s="4">
        <f>'PWD CIP'!G$68</f>
        <v>75701000</v>
      </c>
      <c r="H4" s="4">
        <f>'PWD CIP'!H$68</f>
        <v>96101000</v>
      </c>
      <c r="I4" s="4">
        <f>'PWD CIP'!I$68</f>
        <v>11951000</v>
      </c>
      <c r="J4" s="4">
        <f>'PWD CIP'!J$68</f>
        <v>101796000</v>
      </c>
      <c r="K4" s="4">
        <f>'PWD CIP'!K$68</f>
        <v>97845880</v>
      </c>
      <c r="L4" s="4">
        <f>'PWD CIP'!L$68</f>
        <v>164896747.90000001</v>
      </c>
      <c r="M4" s="4">
        <f>'PWD CIP'!M$68</f>
        <v>114393218.72199999</v>
      </c>
      <c r="N4" s="4">
        <f>'PWD CIP'!N$68</f>
        <v>108832199.89175999</v>
      </c>
      <c r="O4" s="4">
        <f>'PWD CIP'!O$68</f>
        <v>112097165.88851279</v>
      </c>
    </row>
    <row r="5" spans="2:23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23" x14ac:dyDescent="0.25">
      <c r="B6" s="2" t="s">
        <v>15</v>
      </c>
    </row>
    <row r="7" spans="2:23" x14ac:dyDescent="0.25">
      <c r="B7" s="3" t="s">
        <v>70</v>
      </c>
    </row>
    <row r="8" spans="2:23" x14ac:dyDescent="0.25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V8" s="4"/>
      <c r="W8" s="4"/>
    </row>
    <row r="9" spans="2:23" x14ac:dyDescent="0.25">
      <c r="B9" s="3"/>
      <c r="V9" s="4"/>
    </row>
    <row r="10" spans="2:23" x14ac:dyDescent="0.25">
      <c r="B10" s="10" t="s">
        <v>1</v>
      </c>
      <c r="C10" s="4">
        <f t="shared" ref="C10:O10" si="4">SUM(C8:C9)</f>
        <v>0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4">
        <f t="shared" si="4"/>
        <v>0</v>
      </c>
      <c r="H10" s="4">
        <f t="shared" si="4"/>
        <v>0</v>
      </c>
      <c r="I10" s="4">
        <f t="shared" si="4"/>
        <v>0</v>
      </c>
      <c r="J10" s="4">
        <f t="shared" si="4"/>
        <v>0</v>
      </c>
      <c r="K10" s="4">
        <f t="shared" si="4"/>
        <v>0</v>
      </c>
      <c r="L10" s="4">
        <f t="shared" si="4"/>
        <v>0</v>
      </c>
      <c r="M10" s="4">
        <f t="shared" si="4"/>
        <v>0</v>
      </c>
      <c r="N10" s="4">
        <f t="shared" si="4"/>
        <v>0</v>
      </c>
      <c r="O10" s="4">
        <f t="shared" si="4"/>
        <v>0</v>
      </c>
      <c r="V10" s="4"/>
    </row>
    <row r="12" spans="2:23" x14ac:dyDescent="0.25">
      <c r="B12" s="2" t="s">
        <v>16</v>
      </c>
      <c r="C12" s="4">
        <f t="shared" ref="C12:O12" si="5">+C4-C10</f>
        <v>30651000</v>
      </c>
      <c r="D12" s="4">
        <f t="shared" si="5"/>
        <v>41701000</v>
      </c>
      <c r="E12" s="4">
        <f t="shared" si="5"/>
        <v>43401000</v>
      </c>
      <c r="F12" s="4">
        <f t="shared" si="5"/>
        <v>63801000</v>
      </c>
      <c r="G12" s="4">
        <f t="shared" si="5"/>
        <v>75701000</v>
      </c>
      <c r="H12" s="4">
        <f t="shared" si="5"/>
        <v>96101000</v>
      </c>
      <c r="I12" s="4">
        <f t="shared" si="5"/>
        <v>11951000</v>
      </c>
      <c r="J12" s="4">
        <f t="shared" si="5"/>
        <v>101796000</v>
      </c>
      <c r="K12" s="4">
        <f t="shared" si="5"/>
        <v>97845880</v>
      </c>
      <c r="L12" s="4">
        <f t="shared" si="5"/>
        <v>164896747.90000001</v>
      </c>
      <c r="M12" s="4">
        <f t="shared" si="5"/>
        <v>114393218.72199999</v>
      </c>
      <c r="N12" s="4">
        <f t="shared" si="5"/>
        <v>108832199.89175999</v>
      </c>
      <c r="O12" s="4">
        <f t="shared" si="5"/>
        <v>112097165.88851279</v>
      </c>
    </row>
    <row r="13" spans="2:23" x14ac:dyDescent="0.25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2:23" x14ac:dyDescent="0.25">
      <c r="B14" s="34" t="s">
        <v>33</v>
      </c>
      <c r="C14" s="36" t="str">
        <f>" Assumed duration of "&amp;FIXED(Assumptions!$C$18,0,0)&amp;" years for "&amp;Assumptions!$B$18&amp;" capital improvements"</f>
        <v xml:space="preserve"> Assumed duration of 2 years for Water Conveyance capital improvements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2:23" x14ac:dyDescent="0.25">
      <c r="B15" s="39">
        <f>C2</f>
        <v>2015</v>
      </c>
      <c r="C15" s="4">
        <f>IF(C$2&lt;$B15+Assumptions!$C$18,C$12/Assumptions!$C$18,0)</f>
        <v>15325500</v>
      </c>
      <c r="D15" s="4">
        <f>IF(D$2&lt;$B15+Assumptions!$C$18,C$12/Assumptions!$C$18,0)</f>
        <v>15325500</v>
      </c>
      <c r="E15" s="4">
        <f>IF(E$2&lt;$B15+Assumptions!$C$18,C$12/Assumptions!$C$18,0)</f>
        <v>0</v>
      </c>
      <c r="F15" s="4">
        <f>IF(F$2&lt;$B15+Assumptions!$C$18,C$12/Assumptions!$C$18,0)</f>
        <v>0</v>
      </c>
      <c r="G15" s="4">
        <f>IF(G$2&lt;$B15+Assumptions!$C$18,C$12/Assumptions!$C$18,0)</f>
        <v>0</v>
      </c>
      <c r="H15" s="4">
        <f>IF(H$2&lt;$B15+Assumptions!$C$18,C$12/Assumptions!$C$18,0)</f>
        <v>0</v>
      </c>
      <c r="I15" s="4">
        <f>IF(I$2&lt;$B15+Assumptions!$C$18,C$12/Assumptions!$C$18,0)</f>
        <v>0</v>
      </c>
      <c r="J15" s="4">
        <f>IF(J$2&lt;$B15+Assumptions!$C$18,C$12/Assumptions!$C$18,0)</f>
        <v>0</v>
      </c>
      <c r="K15" s="4">
        <f>IF(K$2&lt;$B15+Assumptions!$C$18,C$12/Assumptions!$C$18,0)</f>
        <v>0</v>
      </c>
      <c r="L15" s="4">
        <f>IF(L$2&lt;$B15+Assumptions!$C$18,C$12/Assumptions!$C$18,0)</f>
        <v>0</v>
      </c>
      <c r="M15" s="4">
        <f>IF(M$2&lt;$B15+Assumptions!$C$18,C$12/Assumptions!$C$18,0)</f>
        <v>0</v>
      </c>
      <c r="N15" s="4">
        <f>IF(N$2&lt;$B15+Assumptions!$C$18,C$12/Assumptions!$C$18,0)</f>
        <v>0</v>
      </c>
      <c r="O15" s="4">
        <f>IF(O$2&lt;$B15+Assumptions!$C$18,C$12/Assumptions!$C$18,0)</f>
        <v>0</v>
      </c>
    </row>
    <row r="16" spans="2:23" x14ac:dyDescent="0.25">
      <c r="B16" s="39">
        <f>B15+1</f>
        <v>2016</v>
      </c>
      <c r="C16" s="4"/>
      <c r="D16" s="4">
        <f>IF(D$2&lt;$B16+Assumptions!$C$18,D$12/Assumptions!$C$18,0)</f>
        <v>20850500</v>
      </c>
      <c r="E16" s="4">
        <f>IF(E$2&lt;$B16+Assumptions!$C$18,D$12/Assumptions!$C$18,0)</f>
        <v>20850500</v>
      </c>
      <c r="F16" s="4">
        <f>IF(F$2&lt;$B16+Assumptions!$C$18,D$12/Assumptions!$C$18,0)</f>
        <v>0</v>
      </c>
      <c r="G16" s="4">
        <f>IF(G$2&lt;$B16+Assumptions!$C$18,D$12/Assumptions!$C$18,0)</f>
        <v>0</v>
      </c>
      <c r="H16" s="4">
        <f>IF(H$2&lt;$B16+Assumptions!$C$18,D$12/Assumptions!$C$18,0)</f>
        <v>0</v>
      </c>
      <c r="I16" s="4">
        <f>IF(I$2&lt;$B16+Assumptions!$C$18,D$12/Assumptions!$C$18,0)</f>
        <v>0</v>
      </c>
      <c r="J16" s="4">
        <f>IF(J$2&lt;$B16+Assumptions!$C$18,D$12/Assumptions!$C$18,0)</f>
        <v>0</v>
      </c>
      <c r="K16" s="4">
        <f>IF(K$2&lt;$B16+Assumptions!$C$18,D$12/Assumptions!$C$18,0)</f>
        <v>0</v>
      </c>
      <c r="L16" s="4">
        <f>IF(L$2&lt;$B16+Assumptions!$C$18,D$12/Assumptions!$C$18,0)</f>
        <v>0</v>
      </c>
      <c r="M16" s="4">
        <f>IF(M$2&lt;$B16+Assumptions!$C$18,D$12/Assumptions!$C$18,0)</f>
        <v>0</v>
      </c>
      <c r="N16" s="4">
        <f>IF(N$2&lt;$B16+Assumptions!$C$18,D$12/Assumptions!$C$18,0)</f>
        <v>0</v>
      </c>
      <c r="O16" s="4">
        <f>IF(O$2&lt;$B16+Assumptions!$C$18,D$12/Assumptions!$C$18,0)</f>
        <v>0</v>
      </c>
      <c r="P16" s="4"/>
    </row>
    <row r="17" spans="2:25" x14ac:dyDescent="0.25">
      <c r="B17" s="39">
        <f t="shared" ref="B17:B33" si="6">B16+1</f>
        <v>2017</v>
      </c>
      <c r="C17" s="4"/>
      <c r="D17" s="4"/>
      <c r="E17" s="4">
        <f>IF(E$2&lt;$B17+Assumptions!$C$18,E$12/Assumptions!$C$18,0)</f>
        <v>21700500</v>
      </c>
      <c r="F17" s="4">
        <f>IF(F$2&lt;$B17+Assumptions!$C$18,E$12/Assumptions!$C$18,0)</f>
        <v>21700500</v>
      </c>
      <c r="G17" s="4">
        <f>IF(G$2&lt;$B17+Assumptions!$C$18,E$12/Assumptions!$C$18,0)</f>
        <v>0</v>
      </c>
      <c r="H17" s="4">
        <f>IF(H$2&lt;$B17+Assumptions!$C$18,E$12/Assumptions!$C$18,0)</f>
        <v>0</v>
      </c>
      <c r="I17" s="4">
        <f>IF(I$2&lt;$B17+Assumptions!$C$18,E$12/Assumptions!$C$18,0)</f>
        <v>0</v>
      </c>
      <c r="J17" s="4">
        <f>IF(J$2&lt;$B17+Assumptions!$C$18,E$12/Assumptions!$C$18,0)</f>
        <v>0</v>
      </c>
      <c r="K17" s="4">
        <f>IF(K$2&lt;$B17+Assumptions!$C$18,E$12/Assumptions!$C$18,0)</f>
        <v>0</v>
      </c>
      <c r="L17" s="4">
        <f>IF(L$2&lt;$B17+Assumptions!$C$18,E$12/Assumptions!$C$18,0)</f>
        <v>0</v>
      </c>
      <c r="M17" s="4">
        <f>IF(M$2&lt;$B17+Assumptions!$C$18,E$12/Assumptions!$C$18,0)</f>
        <v>0</v>
      </c>
      <c r="N17" s="4">
        <f>IF(N$2&lt;$B17+Assumptions!$C$18,E$12/Assumptions!$C$18,0)</f>
        <v>0</v>
      </c>
      <c r="O17" s="4">
        <f>IF(O$2&lt;$B17+Assumptions!$C$18,E$12/Assumptions!$C$18,0)</f>
        <v>0</v>
      </c>
      <c r="P17" s="4"/>
      <c r="Q17" s="4"/>
    </row>
    <row r="18" spans="2:25" x14ac:dyDescent="0.25">
      <c r="B18" s="39">
        <f t="shared" si="6"/>
        <v>2018</v>
      </c>
      <c r="C18" s="4"/>
      <c r="D18" s="4"/>
      <c r="E18" s="4"/>
      <c r="F18" s="4">
        <f>IF(F$2&lt;$B18+Assumptions!$C$18,F$12/Assumptions!$C$18,0)</f>
        <v>31900500</v>
      </c>
      <c r="G18" s="4">
        <f>IF(G$2&lt;$B18+Assumptions!$C$18,$F$12/Assumptions!$C$18,0)</f>
        <v>31900500</v>
      </c>
      <c r="H18" s="4">
        <f>IF(H$2&lt;$B18+Assumptions!$C$18,$F$12/Assumptions!$C$18,0)</f>
        <v>0</v>
      </c>
      <c r="I18" s="4">
        <f>IF(I$2&lt;$B18+Assumptions!$C$18,$F$12/Assumptions!$C$18,0)</f>
        <v>0</v>
      </c>
      <c r="J18" s="4">
        <f>IF(J$2&lt;$B18+Assumptions!$C$18,$F$12/Assumptions!$C$18,0)</f>
        <v>0</v>
      </c>
      <c r="K18" s="4">
        <f>IF(K$2&lt;$B18+Assumptions!$C$18,$F$12/Assumptions!$C$18,0)</f>
        <v>0</v>
      </c>
      <c r="L18" s="4">
        <f>IF(L$2&lt;$B18+Assumptions!$C$18,$F$12/Assumptions!$C$18,0)</f>
        <v>0</v>
      </c>
      <c r="M18" s="4">
        <f>IF(M$2&lt;$B18+Assumptions!$C$18,$F$12/Assumptions!$C$18,0)</f>
        <v>0</v>
      </c>
      <c r="N18" s="4">
        <f>IF(N$2&lt;$B18+Assumptions!$C$18,$F$12/Assumptions!$C$18,0)</f>
        <v>0</v>
      </c>
      <c r="O18" s="4">
        <f>IF(O$2&lt;$B18+Assumptions!$C$18,$F$12/Assumptions!$C$18,0)</f>
        <v>0</v>
      </c>
      <c r="P18" s="4"/>
      <c r="Q18" s="4"/>
      <c r="R18" s="4"/>
    </row>
    <row r="19" spans="2:25" x14ac:dyDescent="0.25">
      <c r="B19" s="39">
        <f t="shared" si="6"/>
        <v>2019</v>
      </c>
      <c r="C19" s="4"/>
      <c r="D19" s="4"/>
      <c r="E19" s="4"/>
      <c r="F19" s="4"/>
      <c r="G19" s="4">
        <f>IF(G$2&lt;$B19+Assumptions!$C$18,G$12/Assumptions!$C$18,0)</f>
        <v>37850500</v>
      </c>
      <c r="H19" s="42">
        <f>IF(H$2&lt;$B19+Assumptions!$C$18,G$12/Assumptions!$C$18,0)/12*(12-H49)</f>
        <v>31542083.333333336</v>
      </c>
      <c r="I19" s="43">
        <f>IF(I$2&lt;$B19+Assumptions!$C$18,G$12/Assumptions!$C$18,0)+IF(H$2&lt;$B19+Assumptions!$C$18,G$12/Assumptions!$C$18,0)/12*(H49)</f>
        <v>6308416.666666667</v>
      </c>
      <c r="J19" s="4">
        <f>IF(J$2&lt;$B19+Assumptions!$C$18,$G$12/Assumptions!$C$18,0)</f>
        <v>0</v>
      </c>
      <c r="K19" s="4">
        <f>IF(K$2&lt;$B19+Assumptions!$C$18,$G$12/Assumptions!$C$18,0)</f>
        <v>0</v>
      </c>
      <c r="L19" s="4">
        <f>IF(L$2&lt;$B19+Assumptions!$C$18,$G$12/Assumptions!$C$18,0)</f>
        <v>0</v>
      </c>
      <c r="M19" s="4">
        <f>IF(M$2&lt;$B19+Assumptions!$C$18,$G$12/Assumptions!$C$18,0)</f>
        <v>0</v>
      </c>
      <c r="N19" s="4">
        <f>IF(N$2&lt;$B19+Assumptions!$C$18,$G$12/Assumptions!$C$18,0)</f>
        <v>0</v>
      </c>
      <c r="O19" s="4">
        <f>IF(O$2&lt;$B19+Assumptions!$C$18,$G$12/Assumptions!$C$18,0)</f>
        <v>0</v>
      </c>
      <c r="P19" s="4"/>
      <c r="Q19" s="4"/>
      <c r="R19" s="4"/>
      <c r="S19" s="4"/>
    </row>
    <row r="20" spans="2:25" x14ac:dyDescent="0.25">
      <c r="B20" s="39">
        <f t="shared" si="6"/>
        <v>2020</v>
      </c>
      <c r="C20" s="4"/>
      <c r="D20" s="4"/>
      <c r="E20" s="4"/>
      <c r="F20" s="4"/>
      <c r="G20" s="4"/>
      <c r="H20" s="42">
        <f>IF(H$2&lt;$B20+Assumptions!$C$18,H$12/Assumptions!$C$18,0)/12*(12-H49)</f>
        <v>40042083.333333336</v>
      </c>
      <c r="I20" s="42">
        <f>IF(I$2&lt;$B20+Assumptions!$C$18,H$12/Assumptions!$C$18,0)+IF(I$2&lt;$B20+Assumptions!$C$18,H$12/Assumptions!$C$18,0)/12*(H49)</f>
        <v>56058916.666666664</v>
      </c>
      <c r="J20" s="4">
        <f>IF(J$2&lt;$B20+Assumptions!$C$18,$H$12/Assumptions!$C$18,0)</f>
        <v>0</v>
      </c>
      <c r="K20" s="4">
        <f>IF(K$2&lt;$B20+Assumptions!$C$18,$H$12/Assumptions!$C$18,0)</f>
        <v>0</v>
      </c>
      <c r="L20" s="4">
        <f>IF(L$2&lt;$B20+Assumptions!$C$18,$H$12/Assumptions!$C$18,0)</f>
        <v>0</v>
      </c>
      <c r="M20" s="4">
        <f>IF(M$2&lt;$B20+Assumptions!$C$18,$H$12/Assumptions!$C$18,0)</f>
        <v>0</v>
      </c>
      <c r="N20" s="4">
        <f>IF(N$2&lt;$B20+Assumptions!$C$18,$H$12/Assumptions!$C$18,0)</f>
        <v>0</v>
      </c>
      <c r="O20" s="4">
        <f>IF(O$2&lt;$B20+Assumptions!$C$18,$H$12/Assumptions!$C$18,0)</f>
        <v>0</v>
      </c>
      <c r="P20" s="4"/>
      <c r="Q20" s="4"/>
      <c r="R20" s="4"/>
      <c r="S20" s="4"/>
      <c r="T20" s="4"/>
    </row>
    <row r="21" spans="2:25" x14ac:dyDescent="0.25">
      <c r="B21" s="39">
        <f t="shared" si="6"/>
        <v>2021</v>
      </c>
      <c r="C21" s="4"/>
      <c r="D21" s="4"/>
      <c r="E21" s="4"/>
      <c r="F21" s="4"/>
      <c r="G21" s="4"/>
      <c r="H21" s="4"/>
      <c r="I21" s="4">
        <f>IF(I$2&lt;$B21+Assumptions!$C$18,$I$12/Assumptions!$C$18,0)</f>
        <v>5975500</v>
      </c>
      <c r="J21" s="4">
        <f>IF(J$2&lt;$B21+Assumptions!$C$18,$I$12/Assumptions!$C$18,0)</f>
        <v>5975500</v>
      </c>
      <c r="K21" s="4">
        <f>IF(K$2&lt;$B21+Assumptions!$C$18,$I$12/Assumptions!$C$18,0)</f>
        <v>0</v>
      </c>
      <c r="L21" s="4">
        <f>IF(L$2&lt;$B21+Assumptions!$C$18,$I$12/Assumptions!$C$18,0)</f>
        <v>0</v>
      </c>
      <c r="M21" s="4">
        <f>IF(M$2&lt;$B21+Assumptions!$C$18,$I$12/Assumptions!$C$18,0)</f>
        <v>0</v>
      </c>
      <c r="N21" s="4">
        <f>IF(N$2&lt;$B21+Assumptions!$C$18,$I$12/Assumptions!$C$18,0)</f>
        <v>0</v>
      </c>
      <c r="O21" s="4">
        <f>IF(O$2&lt;$B21+Assumptions!$C$18,$I$12/Assumptions!$C$18,0)</f>
        <v>0</v>
      </c>
      <c r="P21" s="4"/>
      <c r="Q21" s="4"/>
      <c r="R21" s="4"/>
      <c r="S21" s="4"/>
      <c r="T21" s="4"/>
      <c r="U21" s="4"/>
    </row>
    <row r="22" spans="2:25" x14ac:dyDescent="0.25">
      <c r="B22" s="39">
        <f t="shared" si="6"/>
        <v>2022</v>
      </c>
      <c r="C22" s="4"/>
      <c r="D22" s="4"/>
      <c r="E22" s="4"/>
      <c r="F22" s="4"/>
      <c r="G22" s="4"/>
      <c r="H22" s="4"/>
      <c r="I22" s="4"/>
      <c r="J22" s="4">
        <f>IF(J$2&lt;$B22+Assumptions!$C$18,$J$12/Assumptions!$C$18,0)</f>
        <v>50898000</v>
      </c>
      <c r="K22" s="4">
        <f>IF(K$2&lt;$B22+Assumptions!$C$18,$J$12/Assumptions!$C$18,0)</f>
        <v>50898000</v>
      </c>
      <c r="L22" s="4">
        <f>IF(L$2&lt;$B22+Assumptions!$C$18,$J$12/Assumptions!$C$18,0)</f>
        <v>0</v>
      </c>
      <c r="M22" s="4">
        <f>IF(M$2&lt;$B22+Assumptions!$C$18,$J$12/Assumptions!$C$18,0)</f>
        <v>0</v>
      </c>
      <c r="N22" s="4">
        <f>IF(N$2&lt;$B22+Assumptions!$C$18,$J$12/Assumptions!$C$18,0)</f>
        <v>0</v>
      </c>
      <c r="O22" s="4">
        <f>IF(O$2&lt;$B22+Assumptions!$C$18,$J$12/Assumptions!$C$18,0)</f>
        <v>0</v>
      </c>
      <c r="P22" s="4"/>
      <c r="Q22" s="4"/>
      <c r="R22" s="4"/>
      <c r="S22" s="4"/>
      <c r="T22" s="4"/>
      <c r="U22" s="4"/>
      <c r="V22" s="4"/>
    </row>
    <row r="23" spans="2:25" x14ac:dyDescent="0.25">
      <c r="B23" s="39">
        <f t="shared" si="6"/>
        <v>2023</v>
      </c>
      <c r="C23" s="4"/>
      <c r="D23" s="4"/>
      <c r="E23" s="4"/>
      <c r="F23" s="4"/>
      <c r="G23" s="4"/>
      <c r="H23" s="4"/>
      <c r="I23" s="4"/>
      <c r="J23" s="4"/>
      <c r="K23" s="4">
        <f>IF(K$2&lt;$B23+Assumptions!$C$18,$K$12/Assumptions!$C$18,0)</f>
        <v>48922940</v>
      </c>
      <c r="L23" s="4">
        <f>IF(L$2&lt;$B23+Assumptions!$C$18,$K$12/Assumptions!$C$18,0)</f>
        <v>48922940</v>
      </c>
      <c r="M23" s="4">
        <f>IF(M$2&lt;$B23+Assumptions!$C$18,$K$12/Assumptions!$C$18,0)</f>
        <v>0</v>
      </c>
      <c r="N23" s="4">
        <f>IF(N$2&lt;$B23+Assumptions!$C$18,$K$12/Assumptions!$C$18,0)</f>
        <v>0</v>
      </c>
      <c r="O23" s="4">
        <f>IF(O$2&lt;$B23+Assumptions!$C$18,$K$12/Assumptions!$C$18,0)</f>
        <v>0</v>
      </c>
      <c r="P23" s="4"/>
      <c r="Q23" s="4"/>
      <c r="R23" s="4"/>
      <c r="S23" s="4"/>
      <c r="T23" s="4"/>
      <c r="U23" s="4"/>
      <c r="V23" s="4"/>
      <c r="W23" s="4"/>
    </row>
    <row r="24" spans="2:25" x14ac:dyDescent="0.25">
      <c r="B24" s="39">
        <f t="shared" si="6"/>
        <v>2024</v>
      </c>
      <c r="C24" s="4"/>
      <c r="D24" s="4"/>
      <c r="E24" s="4"/>
      <c r="F24" s="4"/>
      <c r="G24" s="4"/>
      <c r="H24" s="4"/>
      <c r="I24" s="4"/>
      <c r="J24" s="4"/>
      <c r="K24" s="4"/>
      <c r="L24" s="4">
        <f>IF(L$2&lt;$B24+Assumptions!$C$18,$L$12/Assumptions!$C$18,0)</f>
        <v>82448373.950000003</v>
      </c>
      <c r="M24" s="4">
        <f>IF(M$2&lt;$B24+Assumptions!$C$18,$L$12/Assumptions!$C$18,0)</f>
        <v>82448373.950000003</v>
      </c>
      <c r="N24" s="4">
        <f>IF(N$2&lt;$B24+Assumptions!$C$18,$L$12/Assumptions!$C$18,0)</f>
        <v>0</v>
      </c>
      <c r="O24" s="4">
        <f>IF(O$2&lt;$B24+Assumptions!$C$18,$L$12/Assumptions!$C$18,0)</f>
        <v>0</v>
      </c>
      <c r="P24" s="4"/>
      <c r="Q24" s="4"/>
      <c r="R24" s="4"/>
      <c r="S24" s="4"/>
      <c r="T24" s="4"/>
      <c r="U24" s="4"/>
      <c r="V24" s="4"/>
      <c r="W24" s="4"/>
      <c r="X24" s="4"/>
    </row>
    <row r="25" spans="2:25" x14ac:dyDescent="0.25">
      <c r="B25" s="39">
        <f t="shared" si="6"/>
        <v>2025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>
        <f>IF(M$2&lt;$B25+Assumptions!$C$18,$M$12/Assumptions!$C$18,0)</f>
        <v>57196609.360999994</v>
      </c>
      <c r="N25" s="4">
        <f>IF(N$2&lt;$B25+Assumptions!$C$18,$M$12/Assumptions!$C$18,0)</f>
        <v>57196609.360999994</v>
      </c>
      <c r="O25" s="4">
        <f>IF(O$2&lt;$B25+Assumptions!$C$18,$M$12/Assumptions!$C$18,0)</f>
        <v>0</v>
      </c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2:25" x14ac:dyDescent="0.25">
      <c r="B26" s="39">
        <f t="shared" si="6"/>
        <v>2026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f>IF(N$2&lt;$B26+Assumptions!$C$18,$N$12/Assumptions!$C$18,0)</f>
        <v>54416099.945879996</v>
      </c>
      <c r="O26" s="4">
        <f>IF(O$2&lt;$B26+Assumptions!$C$18,$N$12/Assumptions!$C$18,0)</f>
        <v>54416099.945879996</v>
      </c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2:25" x14ac:dyDescent="0.25">
      <c r="B27" s="39">
        <f t="shared" si="6"/>
        <v>2027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f>IF(O$2&lt;$B27+Assumptions!$C$18,$O$12/Assumptions!$C$18,0)</f>
        <v>56048582.944256395</v>
      </c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2:25" x14ac:dyDescent="0.25">
      <c r="B28" s="39">
        <f t="shared" si="6"/>
        <v>2028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2:25" x14ac:dyDescent="0.25">
      <c r="B29" s="39">
        <f t="shared" si="6"/>
        <v>2029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2:25" x14ac:dyDescent="0.25">
      <c r="B30" s="39">
        <f t="shared" si="6"/>
        <v>2030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2:25" x14ac:dyDescent="0.25">
      <c r="B31" s="39">
        <f t="shared" si="6"/>
        <v>2031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2:25" x14ac:dyDescent="0.25">
      <c r="B32" s="39">
        <f t="shared" si="6"/>
        <v>2032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2:25" x14ac:dyDescent="0.25">
      <c r="B33" s="39">
        <f t="shared" si="6"/>
        <v>2033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2:25" x14ac:dyDescent="0.25"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6" spans="2:25" x14ac:dyDescent="0.25">
      <c r="B36" s="2" t="s">
        <v>3</v>
      </c>
      <c r="C36" s="4">
        <f>SUM(C15:C33)</f>
        <v>15325500</v>
      </c>
      <c r="D36" s="4">
        <f t="shared" ref="D36:O36" si="7">SUM(D15:D33)</f>
        <v>36176000</v>
      </c>
      <c r="E36" s="4">
        <f t="shared" si="7"/>
        <v>42551000</v>
      </c>
      <c r="F36" s="4">
        <f t="shared" si="7"/>
        <v>53601000</v>
      </c>
      <c r="G36" s="4">
        <f t="shared" si="7"/>
        <v>69751000</v>
      </c>
      <c r="H36" s="4">
        <f t="shared" si="7"/>
        <v>71584166.666666672</v>
      </c>
      <c r="I36" s="4">
        <f t="shared" si="7"/>
        <v>68342833.333333328</v>
      </c>
      <c r="J36" s="4">
        <f t="shared" si="7"/>
        <v>56873500</v>
      </c>
      <c r="K36" s="4">
        <f t="shared" si="7"/>
        <v>99820940</v>
      </c>
      <c r="L36" s="4">
        <f t="shared" si="7"/>
        <v>131371313.95</v>
      </c>
      <c r="M36" s="4">
        <f t="shared" si="7"/>
        <v>139644983.31099999</v>
      </c>
      <c r="N36" s="4">
        <f t="shared" si="7"/>
        <v>111612709.30688</v>
      </c>
      <c r="O36" s="4">
        <f t="shared" si="7"/>
        <v>110464682.89013639</v>
      </c>
    </row>
    <row r="37" spans="2:25" x14ac:dyDescent="0.25">
      <c r="C37" s="4"/>
      <c r="D37" s="4"/>
      <c r="E37" s="4"/>
      <c r="F37" s="4"/>
      <c r="G37" s="4"/>
      <c r="M37" s="8"/>
      <c r="O37" s="8"/>
    </row>
    <row r="38" spans="2:25" x14ac:dyDescent="0.25">
      <c r="B38" s="2" t="s">
        <v>17</v>
      </c>
      <c r="J38" s="6"/>
    </row>
    <row r="39" spans="2:25" x14ac:dyDescent="0.25">
      <c r="B39" s="3" t="s">
        <v>70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V39" s="4"/>
      <c r="W39" s="4"/>
    </row>
    <row r="40" spans="2:25" x14ac:dyDescent="0.2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V40" s="4"/>
      <c r="W40" s="4"/>
    </row>
    <row r="42" spans="2:25" x14ac:dyDescent="0.25">
      <c r="B42" s="10" t="s">
        <v>1</v>
      </c>
      <c r="C42" s="4">
        <f t="shared" ref="C42:O42" si="8">SUM(C39:C41)</f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8"/>
        <v>0</v>
      </c>
    </row>
    <row r="44" spans="2:25" x14ac:dyDescent="0.25">
      <c r="B44" s="22" t="s">
        <v>4</v>
      </c>
      <c r="C44" s="23">
        <f t="shared" ref="C44:O44" si="9">+C42+C36</f>
        <v>15325500</v>
      </c>
      <c r="D44" s="23">
        <f t="shared" si="9"/>
        <v>36176000</v>
      </c>
      <c r="E44" s="23">
        <f t="shared" si="9"/>
        <v>42551000</v>
      </c>
      <c r="F44" s="23">
        <f t="shared" si="9"/>
        <v>53601000</v>
      </c>
      <c r="G44" s="23">
        <f t="shared" si="9"/>
        <v>69751000</v>
      </c>
      <c r="H44" s="23">
        <f t="shared" si="9"/>
        <v>71584166.666666672</v>
      </c>
      <c r="I44" s="23">
        <f t="shared" si="9"/>
        <v>68342833.333333328</v>
      </c>
      <c r="J44" s="23">
        <f t="shared" si="9"/>
        <v>56873500</v>
      </c>
      <c r="K44" s="23">
        <f t="shared" si="9"/>
        <v>99820940</v>
      </c>
      <c r="L44" s="23">
        <f t="shared" si="9"/>
        <v>131371313.95</v>
      </c>
      <c r="M44" s="23">
        <f t="shared" si="9"/>
        <v>139644983.31099999</v>
      </c>
      <c r="N44" s="23">
        <f t="shared" si="9"/>
        <v>111612709.30688</v>
      </c>
      <c r="O44" s="23">
        <f t="shared" si="9"/>
        <v>110464682.89013639</v>
      </c>
    </row>
    <row r="45" spans="2:25" x14ac:dyDescent="0.25">
      <c r="C45" s="7"/>
      <c r="D45" s="7"/>
      <c r="E45" s="7"/>
      <c r="F45" s="7"/>
      <c r="G45" s="7"/>
      <c r="H45" s="7"/>
      <c r="I45" s="7"/>
    </row>
    <row r="46" spans="2:25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9" spans="2:9" x14ac:dyDescent="0.25">
      <c r="B49" s="1" t="s">
        <v>47</v>
      </c>
      <c r="H49" s="45">
        <v>2</v>
      </c>
      <c r="I49" s="1" t="s">
        <v>69</v>
      </c>
    </row>
    <row r="50" spans="2:9" x14ac:dyDescent="0.25">
      <c r="C50" s="7"/>
      <c r="D50" s="7"/>
      <c r="E50" s="7"/>
      <c r="F50" s="7"/>
      <c r="G50" s="7"/>
    </row>
    <row r="51" spans="2:9" x14ac:dyDescent="0.25">
      <c r="C51" s="5"/>
      <c r="D51" s="5"/>
      <c r="E51" s="5"/>
      <c r="F51" s="5"/>
      <c r="G51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34018-8172-46C0-8C35-6BD6C5D2AC1A}">
  <sheetPr>
    <tabColor theme="9" tint="-0.249977111117893"/>
  </sheetPr>
  <dimension ref="B2:Q50"/>
  <sheetViews>
    <sheetView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ColWidth="9.28515625" defaultRowHeight="15" x14ac:dyDescent="0.25"/>
  <cols>
    <col min="1" max="1" width="9.28515625" style="1"/>
    <col min="2" max="2" width="34.5703125" style="1" customWidth="1"/>
    <col min="3" max="15" width="15.42578125" style="1" customWidth="1"/>
    <col min="16" max="17" width="12.28515625" style="1" bestFit="1" customWidth="1"/>
    <col min="18" max="16384" width="9.28515625" style="1"/>
  </cols>
  <sheetData>
    <row r="2" spans="2:17" x14ac:dyDescent="0.25">
      <c r="B2" s="9" t="str">
        <f ca="1">MID(CELL("filename",A1),FIND("]",CELL("filename",A1))+1,256)</f>
        <v>Collector System</v>
      </c>
      <c r="C2" s="38">
        <f t="shared" ref="C2:F2" si="0">+D2-1</f>
        <v>2015</v>
      </c>
      <c r="D2" s="38">
        <f t="shared" si="0"/>
        <v>2016</v>
      </c>
      <c r="E2" s="38">
        <f t="shared" si="0"/>
        <v>2017</v>
      </c>
      <c r="F2" s="38">
        <f t="shared" si="0"/>
        <v>2018</v>
      </c>
      <c r="G2" s="38">
        <v>2019</v>
      </c>
      <c r="H2" s="38">
        <f>+G2+1</f>
        <v>2020</v>
      </c>
      <c r="I2" s="38">
        <f t="shared" ref="I2:M2" si="1">+H2+1</f>
        <v>2021</v>
      </c>
      <c r="J2" s="38">
        <f t="shared" si="1"/>
        <v>2022</v>
      </c>
      <c r="K2" s="38">
        <f t="shared" si="1"/>
        <v>2023</v>
      </c>
      <c r="L2" s="38">
        <f t="shared" si="1"/>
        <v>2024</v>
      </c>
      <c r="M2" s="38">
        <f t="shared" si="1"/>
        <v>2025</v>
      </c>
      <c r="N2" s="38">
        <f t="shared" ref="N2" si="2">+M2+1</f>
        <v>2026</v>
      </c>
      <c r="O2" s="38">
        <f t="shared" ref="O2" si="3">+N2+1</f>
        <v>2027</v>
      </c>
    </row>
    <row r="4" spans="2:17" x14ac:dyDescent="0.25">
      <c r="B4" s="2" t="s">
        <v>7</v>
      </c>
      <c r="C4" s="4">
        <f>'PWD CIP'!C$69</f>
        <v>60061000</v>
      </c>
      <c r="D4" s="4">
        <f>'PWD CIP'!D$69</f>
        <v>72216000</v>
      </c>
      <c r="E4" s="4">
        <f>'PWD CIP'!E$69</f>
        <v>83507400</v>
      </c>
      <c r="F4" s="4">
        <f>'PWD CIP'!F$69</f>
        <v>91715000</v>
      </c>
      <c r="G4" s="4">
        <f>'PWD CIP'!G$69</f>
        <v>96050000</v>
      </c>
      <c r="H4" s="4">
        <f>'PWD CIP'!H$69</f>
        <v>118830000</v>
      </c>
      <c r="I4" s="4">
        <f>'PWD CIP'!I$69</f>
        <v>9741000</v>
      </c>
      <c r="J4" s="4">
        <f>'PWD CIP'!J$69</f>
        <v>181271000</v>
      </c>
      <c r="K4" s="4">
        <f>'PWD CIP'!K$69</f>
        <v>136017680</v>
      </c>
      <c r="L4" s="4">
        <f>'PWD CIP'!L$69</f>
        <v>140098210.40000001</v>
      </c>
      <c r="M4" s="4">
        <f>'PWD CIP'!M$69</f>
        <v>144301156.71199998</v>
      </c>
      <c r="N4" s="4">
        <f>'PWD CIP'!N$69</f>
        <v>207944505.70036</v>
      </c>
      <c r="O4" s="4">
        <f>'PWD CIP'!O$69</f>
        <v>214182840.87137076</v>
      </c>
    </row>
    <row r="5" spans="2:17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17" x14ac:dyDescent="0.25">
      <c r="B6" s="2" t="s">
        <v>0</v>
      </c>
    </row>
    <row r="7" spans="2:17" x14ac:dyDescent="0.25">
      <c r="B7" s="3" t="s">
        <v>70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4"/>
      <c r="Q7" s="4"/>
    </row>
    <row r="8" spans="2:17" x14ac:dyDescent="0.25">
      <c r="B8" s="3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4"/>
      <c r="Q8" s="4"/>
    </row>
    <row r="9" spans="2:17" x14ac:dyDescent="0.25">
      <c r="B9" s="3"/>
      <c r="P9" s="4"/>
    </row>
    <row r="10" spans="2:17" x14ac:dyDescent="0.25">
      <c r="B10" s="10" t="s">
        <v>1</v>
      </c>
      <c r="C10" s="4">
        <f t="shared" ref="C10:M10" si="4">SUM(C7:C9)</f>
        <v>0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4">
        <f t="shared" si="4"/>
        <v>0</v>
      </c>
      <c r="H10" s="4">
        <f t="shared" si="4"/>
        <v>0</v>
      </c>
      <c r="I10" s="4">
        <f t="shared" si="4"/>
        <v>0</v>
      </c>
      <c r="J10" s="4">
        <f t="shared" si="4"/>
        <v>0</v>
      </c>
      <c r="K10" s="4">
        <f t="shared" si="4"/>
        <v>0</v>
      </c>
      <c r="L10" s="4">
        <f t="shared" si="4"/>
        <v>0</v>
      </c>
      <c r="M10" s="4">
        <f t="shared" si="4"/>
        <v>0</v>
      </c>
      <c r="N10" s="4">
        <f t="shared" ref="N10:O10" si="5">SUM(N7:N9)</f>
        <v>0</v>
      </c>
      <c r="O10" s="4">
        <f t="shared" si="5"/>
        <v>0</v>
      </c>
      <c r="P10" s="4"/>
    </row>
    <row r="12" spans="2:17" x14ac:dyDescent="0.25">
      <c r="B12" s="2" t="s">
        <v>2</v>
      </c>
      <c r="C12" s="4">
        <f t="shared" ref="C12:M12" si="6">+C4-C10</f>
        <v>60061000</v>
      </c>
      <c r="D12" s="4">
        <f t="shared" si="6"/>
        <v>72216000</v>
      </c>
      <c r="E12" s="4">
        <f t="shared" si="6"/>
        <v>83507400</v>
      </c>
      <c r="F12" s="4">
        <f t="shared" si="6"/>
        <v>91715000</v>
      </c>
      <c r="G12" s="4">
        <f t="shared" si="6"/>
        <v>96050000</v>
      </c>
      <c r="H12" s="4">
        <f t="shared" si="6"/>
        <v>118830000</v>
      </c>
      <c r="I12" s="4">
        <f t="shared" si="6"/>
        <v>9741000</v>
      </c>
      <c r="J12" s="4">
        <f t="shared" si="6"/>
        <v>181271000</v>
      </c>
      <c r="K12" s="4">
        <f t="shared" si="6"/>
        <v>136017680</v>
      </c>
      <c r="L12" s="4">
        <f t="shared" si="6"/>
        <v>140098210.40000001</v>
      </c>
      <c r="M12" s="4">
        <f t="shared" si="6"/>
        <v>144301156.71199998</v>
      </c>
      <c r="N12" s="4">
        <f t="shared" ref="N12:O12" si="7">+N4-N10</f>
        <v>207944505.70036</v>
      </c>
      <c r="O12" s="4">
        <f t="shared" si="7"/>
        <v>214182840.87137076</v>
      </c>
    </row>
    <row r="14" spans="2:17" x14ac:dyDescent="0.25">
      <c r="B14" s="34" t="s">
        <v>33</v>
      </c>
      <c r="C14" s="36" t="str">
        <f>" Assumed duration of "&amp;FIXED(Assumptions!$C$19,0,0)&amp;" years for "&amp;Assumptions!$B$19&amp;" capital improvements"</f>
        <v xml:space="preserve"> Assumed duration of 3 years for Sewer Collection capital improvements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2:17" x14ac:dyDescent="0.25">
      <c r="B15" s="39">
        <f>C2</f>
        <v>2015</v>
      </c>
      <c r="C15" s="4">
        <f>IF(C$2&lt;$B15+Assumptions!$C$19,C$12/Assumptions!$C$19,0)</f>
        <v>20020333.333333332</v>
      </c>
      <c r="D15" s="4">
        <f>IF(D$2&lt;$B15+Assumptions!$C$19,C$12/Assumptions!$C$19,0)</f>
        <v>20020333.333333332</v>
      </c>
      <c r="E15" s="4">
        <f>IF(E$2&lt;$B15+Assumptions!$C$19,$C$12/Assumptions!$C$19,0)</f>
        <v>20020333.333333332</v>
      </c>
      <c r="F15" s="4">
        <f>IF(F$2&lt;$B15+Assumptions!$C$19,$C$12/Assumptions!$C$19,0)</f>
        <v>0</v>
      </c>
      <c r="G15" s="4">
        <f>IF(G$2&lt;$B15+Assumptions!$C$19,$C$12/Assumptions!$C$19,0)</f>
        <v>0</v>
      </c>
      <c r="H15" s="4">
        <f>IF(H$2&lt;$B15+Assumptions!$C$19,$C$12/Assumptions!$C$19,0)</f>
        <v>0</v>
      </c>
      <c r="I15" s="4">
        <f>IF(I$2&lt;$B15+Assumptions!$C$19,$C$12/Assumptions!$C$19,0)</f>
        <v>0</v>
      </c>
      <c r="J15" s="4">
        <f>IF(J$2&lt;$B15+Assumptions!$C$19,$C$12/Assumptions!$C$19,0)</f>
        <v>0</v>
      </c>
      <c r="K15" s="4">
        <f>IF(K$2&lt;$B15+Assumptions!$C$19,$C$12/Assumptions!$C$19,0)</f>
        <v>0</v>
      </c>
      <c r="L15" s="4">
        <f>IF(L$2&lt;$B15+Assumptions!$C$19,$C$12/Assumptions!$C$19,0)</f>
        <v>0</v>
      </c>
      <c r="M15" s="4">
        <f>IF(M$2&lt;$B15+Assumptions!$C$19,$C$12/Assumptions!$C$19,0)</f>
        <v>0</v>
      </c>
      <c r="N15" s="4">
        <f>IF(N$2&lt;$B15+Assumptions!$C$19,$C$12/Assumptions!$C$19,0)</f>
        <v>0</v>
      </c>
      <c r="O15" s="4">
        <f>IF(O$2&lt;$B15+Assumptions!$C$19,$C$12/Assumptions!$C$19,0)</f>
        <v>0</v>
      </c>
    </row>
    <row r="16" spans="2:17" x14ac:dyDescent="0.25">
      <c r="B16" s="39">
        <f>B15+1</f>
        <v>2016</v>
      </c>
      <c r="C16" s="4"/>
      <c r="D16" s="4">
        <f>IF(D$2&lt;$B16+Assumptions!$C$19,D$12/Assumptions!$C$19,0)</f>
        <v>24072000</v>
      </c>
      <c r="E16" s="4">
        <f>IF(E$2&lt;$B16+Assumptions!$C$19,$D$12/Assumptions!$C$19,0)</f>
        <v>24072000</v>
      </c>
      <c r="F16" s="4">
        <f>IF(F$2&lt;$B16+Assumptions!$C$19,$D$12/Assumptions!$C$19,0)</f>
        <v>24072000</v>
      </c>
      <c r="G16" s="4">
        <f>IF(G$2&lt;$B16+Assumptions!$C$19,$D$12/Assumptions!$C$19,0)</f>
        <v>0</v>
      </c>
      <c r="H16" s="4">
        <f>IF(H$2&lt;$B16+Assumptions!$C$19,$D$12/Assumptions!$C$19,0)</f>
        <v>0</v>
      </c>
      <c r="I16" s="4">
        <f>IF(I$2&lt;$B16+Assumptions!$C$19,$D$12/Assumptions!$C$19,0)</f>
        <v>0</v>
      </c>
      <c r="J16" s="4">
        <f>IF(J$2&lt;$B16+Assumptions!$C$19,$D$12/Assumptions!$C$19,0)</f>
        <v>0</v>
      </c>
      <c r="K16" s="4">
        <f>IF(K$2&lt;$B16+Assumptions!$C$19,$D$12/Assumptions!$C$19,0)</f>
        <v>0</v>
      </c>
      <c r="L16" s="4">
        <f>IF(L$2&lt;$B16+Assumptions!$C$19,$D$12/Assumptions!$C$19,0)</f>
        <v>0</v>
      </c>
      <c r="M16" s="4">
        <f>IF(M$2&lt;$B16+Assumptions!$C$19,$D$12/Assumptions!$C$19,0)</f>
        <v>0</v>
      </c>
      <c r="N16" s="4">
        <f>IF(N$2&lt;$B16+Assumptions!$C$19,$D$12/Assumptions!$C$19,0)</f>
        <v>0</v>
      </c>
      <c r="O16" s="4">
        <f>IF(O$2&lt;$B16+Assumptions!$C$19,$D$12/Assumptions!$C$19,0)</f>
        <v>0</v>
      </c>
    </row>
    <row r="17" spans="2:15" x14ac:dyDescent="0.25">
      <c r="B17" s="39">
        <f t="shared" ref="B17:B33" si="8">B16+1</f>
        <v>2017</v>
      </c>
      <c r="C17" s="4"/>
      <c r="D17" s="4"/>
      <c r="E17" s="4">
        <f>IF(E$2&lt;$B17+Assumptions!$C$19,E$12/Assumptions!$C$19,0)</f>
        <v>27835800</v>
      </c>
      <c r="F17" s="4">
        <f>IF(F$2&lt;$B17+Assumptions!$C$19,$E$12/Assumptions!$C$19,0)</f>
        <v>27835800</v>
      </c>
      <c r="G17" s="4">
        <f>IF(G$2&lt;$B17+Assumptions!$C$19,$E$12/Assumptions!$C$19,0)</f>
        <v>27835800</v>
      </c>
      <c r="H17" s="4">
        <f>IF(H$2&lt;$B17+Assumptions!$C$19,$E$12/Assumptions!$C$19,0)</f>
        <v>0</v>
      </c>
      <c r="I17" s="4">
        <f>IF(I$2&lt;$B17+Assumptions!$C$19,$E$12/Assumptions!$C$19,0)</f>
        <v>0</v>
      </c>
      <c r="J17" s="4">
        <f>IF(J$2&lt;$B17+Assumptions!$C$19,$E$12/Assumptions!$C$19,0)</f>
        <v>0</v>
      </c>
      <c r="K17" s="4">
        <f>IF(K$2&lt;$B17+Assumptions!$C$19,$E$12/Assumptions!$C$19,0)</f>
        <v>0</v>
      </c>
      <c r="L17" s="4">
        <f>IF(L$2&lt;$B17+Assumptions!$C$19,$E$12/Assumptions!$C$19,0)</f>
        <v>0</v>
      </c>
      <c r="M17" s="4">
        <f>IF(M$2&lt;$B17+Assumptions!$C$19,$E$12/Assumptions!$C$19,0)</f>
        <v>0</v>
      </c>
      <c r="N17" s="4">
        <f>IF(N$2&lt;$B17+Assumptions!$C$19,$E$12/Assumptions!$C$19,0)</f>
        <v>0</v>
      </c>
      <c r="O17" s="4">
        <f>IF(O$2&lt;$B17+Assumptions!$C$19,$E$12/Assumptions!$C$19,0)</f>
        <v>0</v>
      </c>
    </row>
    <row r="18" spans="2:15" x14ac:dyDescent="0.25">
      <c r="B18" s="39">
        <f t="shared" si="8"/>
        <v>2018</v>
      </c>
      <c r="C18" s="4"/>
      <c r="D18" s="4"/>
      <c r="E18" s="4"/>
      <c r="F18" s="4">
        <f>IF(F$2&lt;$B18+Assumptions!$C$19,F$12/Assumptions!$C$19,0)</f>
        <v>30571666.666666668</v>
      </c>
      <c r="G18" s="4">
        <f>IF(G$2&lt;$B18+Assumptions!$C$19,F$12/Assumptions!$C$19,0)</f>
        <v>30571666.666666668</v>
      </c>
      <c r="H18" s="42">
        <f>IF(H$2&lt;$B18+Assumptions!$C$19,F$12/Assumptions!$C$19,0)/12*(12-H49)</f>
        <v>25476388.888888888</v>
      </c>
      <c r="I18" s="42">
        <f>IF(I$2&lt;$B18+Assumptions!$C$19,F$12/Assumptions!$C$19,0)+IF(H$2&lt;$B18+Assumptions!$C$19,F$12/Assumptions!$C$19,0)/12*H49</f>
        <v>5095277.777777778</v>
      </c>
      <c r="J18" s="4">
        <f>IF(J$2&lt;$B18+Assumptions!$C$19,$F$12/Assumptions!$C$19,0)</f>
        <v>0</v>
      </c>
      <c r="K18" s="4">
        <f>IF(K$2&lt;$B18+Assumptions!$C$19,$F$12/Assumptions!$C$19,0)</f>
        <v>0</v>
      </c>
      <c r="L18" s="4">
        <f>IF(L$2&lt;$B18+Assumptions!$C$19,$F$12/Assumptions!$C$19,0)</f>
        <v>0</v>
      </c>
      <c r="M18" s="4">
        <f>IF(M$2&lt;$B18+Assumptions!$C$19,$F$12/Assumptions!$C$19,0)</f>
        <v>0</v>
      </c>
      <c r="N18" s="4">
        <f>IF(N$2&lt;$B18+Assumptions!$C$19,$F$12/Assumptions!$C$19,0)</f>
        <v>0</v>
      </c>
      <c r="O18" s="4">
        <f>IF(O$2&lt;$B18+Assumptions!$C$19,$F$12/Assumptions!$C$19,0)</f>
        <v>0</v>
      </c>
    </row>
    <row r="19" spans="2:15" x14ac:dyDescent="0.25">
      <c r="B19" s="39">
        <f t="shared" si="8"/>
        <v>2019</v>
      </c>
      <c r="C19" s="4"/>
      <c r="D19" s="4"/>
      <c r="E19" s="4"/>
      <c r="F19" s="4"/>
      <c r="G19" s="4">
        <f>IF(G$2&lt;$B19+Assumptions!$C$19,G$12/Assumptions!$C$19,0)</f>
        <v>32016666.666666668</v>
      </c>
      <c r="H19" s="42">
        <f>IF(H$2&lt;$B19+Assumptions!$C$19,G$12/Assumptions!$C$19,0)/12*(12-H49)</f>
        <v>26680555.555555556</v>
      </c>
      <c r="I19" s="42">
        <f>IF(I$2&lt;$B19+Assumptions!$C$19,G$12/Assumptions!$C$19,0)+IF(H$2&lt;$B19+Assumptions!$C$19,G$12/Assumptions!$C$19,0)/12*H49</f>
        <v>37352777.777777776</v>
      </c>
      <c r="J19" s="4">
        <f>IF(J$2&lt;$B19+Assumptions!$C$19,$G$12/Assumptions!$C$19,0)</f>
        <v>0</v>
      </c>
      <c r="K19" s="4">
        <f>IF(K$2&lt;$B19+Assumptions!$C$19,G$12/Assumptions!$C$19,0)</f>
        <v>0</v>
      </c>
      <c r="L19" s="4">
        <f>IF(L$2&lt;$B19+Assumptions!$C$19,G$12/Assumptions!$C$19,0)</f>
        <v>0</v>
      </c>
      <c r="M19" s="4">
        <f>IF(M$2&lt;$B19+Assumptions!$C$19,G$12/Assumptions!$C$19,0)</f>
        <v>0</v>
      </c>
      <c r="N19" s="4">
        <f>IF(N$2&lt;$B19+Assumptions!$C$19,G$12/Assumptions!$C$19,0)</f>
        <v>0</v>
      </c>
      <c r="O19" s="4">
        <f>IF(O$2&lt;$B19+Assumptions!$C$19,G$12/Assumptions!$C$19,0)</f>
        <v>0</v>
      </c>
    </row>
    <row r="20" spans="2:15" x14ac:dyDescent="0.25">
      <c r="B20" s="39">
        <f t="shared" si="8"/>
        <v>2020</v>
      </c>
      <c r="C20" s="4"/>
      <c r="D20" s="4"/>
      <c r="E20" s="4"/>
      <c r="F20" s="4"/>
      <c r="G20" s="4"/>
      <c r="H20" s="42">
        <f>IF(H$2&lt;$B20+Assumptions!$C$19,H$12/Assumptions!$C$19,0)/12*(12-H49)</f>
        <v>33008333.333333336</v>
      </c>
      <c r="I20" s="42">
        <f>IF(I$2&lt;$B20+Assumptions!$C$19,H$12/Assumptions!$C$19,0)+IF(H$2&lt;$B20+Assumptions!$C$19,H$12/Assumptions!$C$19,0)/12*H49</f>
        <v>46211666.666666664</v>
      </c>
      <c r="J20" s="4">
        <f>IF(J$2&lt;$B20+Assumptions!$C$19,H$12/Assumptions!$C$19,0)</f>
        <v>39610000</v>
      </c>
      <c r="K20" s="4">
        <f>IF(K$2&lt;$B20+Assumptions!$C$19,$H$12/Assumptions!$C$19,0)</f>
        <v>0</v>
      </c>
      <c r="L20" s="4">
        <f>IF(L$2&lt;$B20+Assumptions!$C$19,$H$12/Assumptions!$C$19,0)</f>
        <v>0</v>
      </c>
      <c r="M20" s="4">
        <f>IF(M$2&lt;$B20+Assumptions!$C$19,$H$12/Assumptions!$C$19,0)</f>
        <v>0</v>
      </c>
      <c r="N20" s="4">
        <f>IF(N$2&lt;$B20+Assumptions!$C$19,$H$12/Assumptions!$C$19,0)</f>
        <v>0</v>
      </c>
      <c r="O20" s="4">
        <f>IF(O$2&lt;$B20+Assumptions!$C$19,$H$12/Assumptions!$C$19,0)</f>
        <v>0</v>
      </c>
    </row>
    <row r="21" spans="2:15" x14ac:dyDescent="0.25">
      <c r="B21" s="39">
        <f t="shared" si="8"/>
        <v>2021</v>
      </c>
      <c r="C21" s="4"/>
      <c r="D21" s="4"/>
      <c r="E21" s="4"/>
      <c r="F21" s="4"/>
      <c r="G21" s="4"/>
      <c r="H21" s="4"/>
      <c r="I21" s="4">
        <f>IF(I$2&lt;$B21+Assumptions!$C$19,I$12/Assumptions!$C$19,0)</f>
        <v>3247000</v>
      </c>
      <c r="J21" s="4">
        <f>IF(J$2&lt;$B21+Assumptions!$C$19,I$12/Assumptions!$C$19,0)</f>
        <v>3247000</v>
      </c>
      <c r="K21" s="4">
        <f>IF(K$2&lt;$B21+Assumptions!$C$19,I$12/Assumptions!$C$19,0)</f>
        <v>3247000</v>
      </c>
      <c r="L21" s="4">
        <f>IF(L$2&lt;$B21+Assumptions!$C$19,$I$12/Assumptions!$C$19,0)</f>
        <v>0</v>
      </c>
      <c r="M21" s="4">
        <f>IF(M$2&lt;$B21+Assumptions!$C$19,$I$12/Assumptions!$C$19,0)</f>
        <v>0</v>
      </c>
      <c r="N21" s="4">
        <f>IF(N$2&lt;$B21+Assumptions!$C$19,$I$12/Assumptions!$C$19,0)</f>
        <v>0</v>
      </c>
      <c r="O21" s="4">
        <f>IF(O$2&lt;$B21+Assumptions!$C$19,$I$12/Assumptions!$C$19,0)</f>
        <v>0</v>
      </c>
    </row>
    <row r="22" spans="2:15" x14ac:dyDescent="0.25">
      <c r="B22" s="39">
        <f t="shared" si="8"/>
        <v>2022</v>
      </c>
      <c r="C22" s="4"/>
      <c r="D22" s="4"/>
      <c r="E22" s="4"/>
      <c r="F22" s="4"/>
      <c r="G22" s="4"/>
      <c r="H22" s="4"/>
      <c r="I22" s="4"/>
      <c r="J22" s="4">
        <f>IF(J$2&lt;$B22+Assumptions!$C$19,J$12/Assumptions!$C$19,0)</f>
        <v>60423666.666666664</v>
      </c>
      <c r="K22" s="4">
        <f>IF(K$2&lt;$B22+Assumptions!$C$19,J$12/Assumptions!$C$19,0)</f>
        <v>60423666.666666664</v>
      </c>
      <c r="L22" s="4">
        <f>IF(L$2&lt;$B22+Assumptions!$C$19,J$12/Assumptions!$C$19,0)</f>
        <v>60423666.666666664</v>
      </c>
      <c r="M22" s="4">
        <f>IF(M$2&lt;$B22+Assumptions!$C$19,$J$12/Assumptions!$C$19,0)</f>
        <v>0</v>
      </c>
      <c r="N22" s="4">
        <f>IF(N$2&lt;$B22+Assumptions!$C$19,$J$12/Assumptions!$C$19,0)</f>
        <v>0</v>
      </c>
      <c r="O22" s="4">
        <f>IF(O$2&lt;$B22+Assumptions!$C$19,$J$12/Assumptions!$C$19,0)</f>
        <v>0</v>
      </c>
    </row>
    <row r="23" spans="2:15" x14ac:dyDescent="0.25">
      <c r="B23" s="39">
        <f t="shared" si="8"/>
        <v>2023</v>
      </c>
      <c r="C23" s="4"/>
      <c r="D23" s="4"/>
      <c r="E23" s="4"/>
      <c r="F23" s="4"/>
      <c r="G23" s="4"/>
      <c r="H23" s="4"/>
      <c r="I23" s="4"/>
      <c r="J23" s="4"/>
      <c r="K23" s="4">
        <f>IF(K$2&lt;$B23+Assumptions!$C$19,K$12/Assumptions!$C$19,0)</f>
        <v>45339226.666666664</v>
      </c>
      <c r="L23" s="4">
        <f>IF(L$2&lt;$B23+Assumptions!$C$19,K$12/Assumptions!$C$19,0)</f>
        <v>45339226.666666664</v>
      </c>
      <c r="M23" s="4">
        <f>IF(M$2&lt;$B23+Assumptions!$C$19,K$12/Assumptions!$C$19,0)</f>
        <v>45339226.666666664</v>
      </c>
      <c r="N23" s="4">
        <f>IF(N$2&lt;$B23+Assumptions!$C$19,$K$12/Assumptions!$C$19,0)</f>
        <v>0</v>
      </c>
      <c r="O23" s="4">
        <f>IF(O$2&lt;$B23+Assumptions!$C$19,$K$12/Assumptions!$C$19,0)</f>
        <v>0</v>
      </c>
    </row>
    <row r="24" spans="2:15" x14ac:dyDescent="0.25">
      <c r="B24" s="39">
        <f t="shared" si="8"/>
        <v>2024</v>
      </c>
      <c r="C24" s="4"/>
      <c r="D24" s="4"/>
      <c r="E24" s="4"/>
      <c r="F24" s="4"/>
      <c r="G24" s="4"/>
      <c r="H24" s="4"/>
      <c r="I24" s="4"/>
      <c r="J24" s="4"/>
      <c r="K24" s="4"/>
      <c r="L24" s="4">
        <f>IF(L$2&lt;$B24+Assumptions!$C$19,L$12/Assumptions!$C$19,0)</f>
        <v>46699403.466666669</v>
      </c>
      <c r="M24" s="4">
        <f>IF(M$2&lt;$B24+Assumptions!$C$19,L$12/Assumptions!$C$19,0)</f>
        <v>46699403.466666669</v>
      </c>
      <c r="N24" s="4">
        <f>IF(N$2&lt;$B24+Assumptions!$C$19,L$12/Assumptions!$C$19,0)</f>
        <v>46699403.466666669</v>
      </c>
      <c r="O24" s="4">
        <f>IF(O$2&lt;$B24+Assumptions!$C$19,$L$12/Assumptions!$C$19,0)</f>
        <v>0</v>
      </c>
    </row>
    <row r="25" spans="2:15" x14ac:dyDescent="0.25">
      <c r="B25" s="39">
        <f t="shared" si="8"/>
        <v>2025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>
        <f>IF(M$2&lt;$B25+Assumptions!$C$19,M$12/Assumptions!$C$19,0)</f>
        <v>48100385.570666663</v>
      </c>
      <c r="N25" s="4">
        <f>IF(N$2&lt;$B25+Assumptions!$C$19,M$12/Assumptions!$C$19,0)</f>
        <v>48100385.570666663</v>
      </c>
      <c r="O25" s="4">
        <f>IF(O$2&lt;$B25+Assumptions!$C$19,M$12/Assumptions!$C$19,0)</f>
        <v>48100385.570666663</v>
      </c>
    </row>
    <row r="26" spans="2:15" x14ac:dyDescent="0.25">
      <c r="B26" s="39">
        <f t="shared" si="8"/>
        <v>2026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f>IF(N$2&lt;$B26+Assumptions!$C$19,$N$12/Assumptions!$C$19,0)</f>
        <v>69314835.233453333</v>
      </c>
      <c r="O26" s="4">
        <f>IF(O$2&lt;$B26+Assumptions!$C$19,$N$12/Assumptions!$C$19,0)</f>
        <v>69314835.233453333</v>
      </c>
    </row>
    <row r="27" spans="2:15" x14ac:dyDescent="0.25">
      <c r="B27" s="39">
        <f t="shared" si="8"/>
        <v>2027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f>IF(O$2&lt;$B27+Assumptions!$C$19,$O$12/Assumptions!$C$19,0)</f>
        <v>71394280.290456921</v>
      </c>
    </row>
    <row r="28" spans="2:15" x14ac:dyDescent="0.25">
      <c r="B28" s="39">
        <f t="shared" si="8"/>
        <v>2028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25">
      <c r="B29" s="39">
        <f t="shared" si="8"/>
        <v>2029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25">
      <c r="B30" s="39">
        <f t="shared" si="8"/>
        <v>2030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x14ac:dyDescent="0.25">
      <c r="B31" s="39">
        <f t="shared" si="8"/>
        <v>2031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x14ac:dyDescent="0.25">
      <c r="B32" s="39">
        <f t="shared" si="8"/>
        <v>2032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17" x14ac:dyDescent="0.25">
      <c r="B33" s="39">
        <f t="shared" si="8"/>
        <v>2033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17" x14ac:dyDescent="0.25"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6" spans="2:17" x14ac:dyDescent="0.25">
      <c r="B36" s="2" t="s">
        <v>3</v>
      </c>
      <c r="C36" s="4">
        <f>SUM(C15:C33)</f>
        <v>20020333.333333332</v>
      </c>
      <c r="D36" s="4">
        <f t="shared" ref="D36:O36" si="9">SUM(D15:D33)</f>
        <v>44092333.333333328</v>
      </c>
      <c r="E36" s="4">
        <f t="shared" si="9"/>
        <v>71928133.333333328</v>
      </c>
      <c r="F36" s="4">
        <f t="shared" si="9"/>
        <v>82479466.666666672</v>
      </c>
      <c r="G36" s="4">
        <f t="shared" si="9"/>
        <v>90424133.333333343</v>
      </c>
      <c r="H36" s="4">
        <f t="shared" si="9"/>
        <v>85165277.777777791</v>
      </c>
      <c r="I36" s="4">
        <f t="shared" si="9"/>
        <v>91906722.222222209</v>
      </c>
      <c r="J36" s="4">
        <f t="shared" si="9"/>
        <v>103280666.66666666</v>
      </c>
      <c r="K36" s="4">
        <f t="shared" si="9"/>
        <v>109009893.33333333</v>
      </c>
      <c r="L36" s="4">
        <f t="shared" si="9"/>
        <v>152462296.80000001</v>
      </c>
      <c r="M36" s="4">
        <f t="shared" si="9"/>
        <v>140139015.704</v>
      </c>
      <c r="N36" s="4">
        <f t="shared" si="9"/>
        <v>164114624.27078667</v>
      </c>
      <c r="O36" s="4">
        <f t="shared" si="9"/>
        <v>188809501.09457693</v>
      </c>
    </row>
    <row r="37" spans="2:17" x14ac:dyDescent="0.25">
      <c r="C37" s="4"/>
      <c r="D37" s="4"/>
      <c r="E37" s="4"/>
      <c r="F37" s="4"/>
      <c r="G37" s="4"/>
      <c r="H37" s="4"/>
      <c r="I37" s="4"/>
    </row>
    <row r="38" spans="2:17" x14ac:dyDescent="0.25">
      <c r="B38" s="2" t="s">
        <v>17</v>
      </c>
    </row>
    <row r="39" spans="2:17" x14ac:dyDescent="0.25">
      <c r="B39" s="3" t="s">
        <v>70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4"/>
      <c r="Q39" s="4"/>
    </row>
    <row r="40" spans="2:17" x14ac:dyDescent="0.25">
      <c r="B40" s="3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4"/>
      <c r="Q40" s="4"/>
    </row>
    <row r="41" spans="2:17" x14ac:dyDescent="0.25">
      <c r="P41" s="4"/>
      <c r="Q41" s="4"/>
    </row>
    <row r="42" spans="2:17" x14ac:dyDescent="0.25">
      <c r="B42" s="10" t="s">
        <v>1</v>
      </c>
      <c r="C42" s="4">
        <f t="shared" ref="C42:M42" si="10">SUM(C39:C41)</f>
        <v>0</v>
      </c>
      <c r="D42" s="4">
        <f t="shared" si="10"/>
        <v>0</v>
      </c>
      <c r="E42" s="4">
        <f t="shared" si="10"/>
        <v>0</v>
      </c>
      <c r="F42" s="4">
        <f t="shared" si="10"/>
        <v>0</v>
      </c>
      <c r="G42" s="4">
        <f t="shared" si="10"/>
        <v>0</v>
      </c>
      <c r="H42" s="4">
        <f t="shared" si="10"/>
        <v>0</v>
      </c>
      <c r="I42" s="4">
        <f t="shared" si="10"/>
        <v>0</v>
      </c>
      <c r="J42" s="4">
        <f t="shared" si="10"/>
        <v>0</v>
      </c>
      <c r="K42" s="4">
        <f t="shared" si="10"/>
        <v>0</v>
      </c>
      <c r="L42" s="4">
        <f t="shared" si="10"/>
        <v>0</v>
      </c>
      <c r="M42" s="4">
        <f t="shared" si="10"/>
        <v>0</v>
      </c>
      <c r="N42" s="4">
        <f t="shared" ref="N42:O42" si="11">SUM(N39:N41)</f>
        <v>0</v>
      </c>
      <c r="O42" s="4">
        <f t="shared" si="11"/>
        <v>0</v>
      </c>
      <c r="P42" s="4"/>
      <c r="Q42" s="4"/>
    </row>
    <row r="43" spans="2:17" x14ac:dyDescent="0.25">
      <c r="P43" s="4"/>
      <c r="Q43" s="4"/>
    </row>
    <row r="44" spans="2:17" x14ac:dyDescent="0.25">
      <c r="B44" s="22" t="s">
        <v>4</v>
      </c>
      <c r="C44" s="23">
        <f t="shared" ref="C44:M44" si="12">+C42+C36</f>
        <v>20020333.333333332</v>
      </c>
      <c r="D44" s="23">
        <f t="shared" si="12"/>
        <v>44092333.333333328</v>
      </c>
      <c r="E44" s="23">
        <f t="shared" si="12"/>
        <v>71928133.333333328</v>
      </c>
      <c r="F44" s="23">
        <f t="shared" si="12"/>
        <v>82479466.666666672</v>
      </c>
      <c r="G44" s="23">
        <f t="shared" si="12"/>
        <v>90424133.333333343</v>
      </c>
      <c r="H44" s="23">
        <f t="shared" si="12"/>
        <v>85165277.777777791</v>
      </c>
      <c r="I44" s="23">
        <f t="shared" si="12"/>
        <v>91906722.222222209</v>
      </c>
      <c r="J44" s="23">
        <f t="shared" si="12"/>
        <v>103280666.66666666</v>
      </c>
      <c r="K44" s="23">
        <f t="shared" si="12"/>
        <v>109009893.33333333</v>
      </c>
      <c r="L44" s="23">
        <f t="shared" si="12"/>
        <v>152462296.80000001</v>
      </c>
      <c r="M44" s="23">
        <f t="shared" si="12"/>
        <v>140139015.704</v>
      </c>
      <c r="N44" s="23">
        <f t="shared" ref="N44:O44" si="13">+N42+N36</f>
        <v>164114624.27078667</v>
      </c>
      <c r="O44" s="23">
        <f t="shared" si="13"/>
        <v>188809501.09457693</v>
      </c>
      <c r="P44" s="4"/>
      <c r="Q44" s="4"/>
    </row>
    <row r="45" spans="2:17" x14ac:dyDescent="0.25">
      <c r="C45" s="7"/>
      <c r="D45" s="7"/>
      <c r="E45" s="7"/>
      <c r="F45" s="7"/>
      <c r="G45" s="7"/>
      <c r="H45" s="7"/>
    </row>
    <row r="46" spans="2:17" x14ac:dyDescent="0.25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9" spans="2:9" x14ac:dyDescent="0.25">
      <c r="B49" s="1" t="s">
        <v>47</v>
      </c>
      <c r="C49" s="7"/>
      <c r="D49" s="7"/>
      <c r="E49" s="7"/>
      <c r="F49" s="7"/>
      <c r="G49" s="7"/>
      <c r="H49" s="45">
        <v>2</v>
      </c>
      <c r="I49" s="1" t="s">
        <v>69</v>
      </c>
    </row>
    <row r="50" spans="2:9" x14ac:dyDescent="0.25">
      <c r="C50" s="7"/>
      <c r="D50" s="7"/>
      <c r="E50" s="7"/>
      <c r="F50" s="7"/>
      <c r="G50" s="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A691E-AA94-4AE4-946F-A8EBDDF6494C}">
  <sheetPr>
    <tabColor theme="9" tint="0.39997558519241921"/>
  </sheetPr>
  <dimension ref="B2:W7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7" sqref="B7"/>
    </sheetView>
  </sheetViews>
  <sheetFormatPr defaultColWidth="9.28515625" defaultRowHeight="15" x14ac:dyDescent="0.25"/>
  <cols>
    <col min="1" max="1" width="9.28515625" style="1"/>
    <col min="2" max="2" width="34.5703125" style="1" customWidth="1"/>
    <col min="3" max="6" width="16.5703125" style="1" bestFit="1" customWidth="1"/>
    <col min="7" max="7" width="17.7109375" style="1" bestFit="1" customWidth="1"/>
    <col min="8" max="8" width="16.7109375" style="1" bestFit="1" customWidth="1"/>
    <col min="9" max="15" width="17.7109375" style="1" bestFit="1" customWidth="1"/>
    <col min="16" max="16" width="12.42578125" style="1" bestFit="1" customWidth="1"/>
    <col min="17" max="17" width="48.7109375" style="1" bestFit="1" customWidth="1"/>
    <col min="18" max="18" width="12.42578125" style="1" bestFit="1" customWidth="1"/>
    <col min="19" max="21" width="9.28515625" style="1"/>
    <col min="22" max="22" width="15.42578125" style="1" bestFit="1" customWidth="1"/>
    <col min="23" max="23" width="13.7109375" style="1" bestFit="1" customWidth="1"/>
    <col min="24" max="16384" width="9.28515625" style="1"/>
  </cols>
  <sheetData>
    <row r="2" spans="2:22" x14ac:dyDescent="0.25">
      <c r="B2" s="9" t="str">
        <f ca="1">MID(CELL("filename",A1),FIND("]",CELL("filename",A1))+1,256)</f>
        <v>Facilities</v>
      </c>
      <c r="C2" s="38">
        <f t="shared" ref="C2:F2" si="0">+D2-1</f>
        <v>2015</v>
      </c>
      <c r="D2" s="38">
        <f t="shared" si="0"/>
        <v>2016</v>
      </c>
      <c r="E2" s="38">
        <f t="shared" si="0"/>
        <v>2017</v>
      </c>
      <c r="F2" s="38">
        <f t="shared" si="0"/>
        <v>2018</v>
      </c>
      <c r="G2" s="38">
        <v>2019</v>
      </c>
      <c r="H2" s="38">
        <f>+G2+1</f>
        <v>2020</v>
      </c>
      <c r="I2" s="38">
        <f t="shared" ref="I2:M2" si="1">+H2+1</f>
        <v>2021</v>
      </c>
      <c r="J2" s="38">
        <f t="shared" si="1"/>
        <v>2022</v>
      </c>
      <c r="K2" s="38">
        <f t="shared" si="1"/>
        <v>2023</v>
      </c>
      <c r="L2" s="38">
        <f t="shared" si="1"/>
        <v>2024</v>
      </c>
      <c r="M2" s="38">
        <f t="shared" si="1"/>
        <v>2025</v>
      </c>
      <c r="N2" s="38">
        <f t="shared" ref="N2" si="2">+M2+1</f>
        <v>2026</v>
      </c>
      <c r="O2" s="38">
        <f t="shared" ref="O2" si="3">+N2+1</f>
        <v>2027</v>
      </c>
    </row>
    <row r="3" spans="2:22" x14ac:dyDescent="0.25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2:22" x14ac:dyDescent="0.25">
      <c r="B4" s="2" t="s">
        <v>7</v>
      </c>
      <c r="C4" s="4">
        <f>'PWD CIP'!C$70</f>
        <v>106250000</v>
      </c>
      <c r="D4" s="4">
        <f>'PWD CIP'!D$70</f>
        <v>93409050</v>
      </c>
      <c r="E4" s="4">
        <f>'PWD CIP'!E$70</f>
        <v>93500000</v>
      </c>
      <c r="F4" s="4">
        <f>'PWD CIP'!F$70</f>
        <v>102000000</v>
      </c>
      <c r="G4" s="4">
        <f>'PWD CIP'!G$70</f>
        <v>102000000</v>
      </c>
      <c r="H4" s="4">
        <f>'PWD CIP'!H$70</f>
        <v>102000000</v>
      </c>
      <c r="I4" s="4">
        <f>'PWD CIP'!I$70</f>
        <v>176800000</v>
      </c>
      <c r="J4" s="4">
        <f>'PWD CIP'!J$70</f>
        <v>314967500</v>
      </c>
      <c r="K4" s="4">
        <f>'PWD CIP'!K$70</f>
        <v>270792150</v>
      </c>
      <c r="L4" s="4">
        <f>'PWD CIP'!L$70</f>
        <v>276481149</v>
      </c>
      <c r="M4" s="4">
        <f>'PWD CIP'!M$70</f>
        <v>176754055.88499999</v>
      </c>
      <c r="N4" s="4">
        <f>'PWD CIP'!N$70</f>
        <v>288248433.78504997</v>
      </c>
      <c r="O4" s="4">
        <f>'PWD CIP'!O$70</f>
        <v>324486609.76694143</v>
      </c>
    </row>
    <row r="5" spans="2:22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2:22" x14ac:dyDescent="0.25">
      <c r="B6" s="2" t="s">
        <v>18</v>
      </c>
    </row>
    <row r="7" spans="2:22" x14ac:dyDescent="0.25">
      <c r="B7" s="3" t="s">
        <v>70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V7" s="4"/>
    </row>
    <row r="8" spans="2:22" x14ac:dyDescent="0.25"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V8" s="4"/>
    </row>
    <row r="9" spans="2:22" x14ac:dyDescent="0.25">
      <c r="B9" s="3"/>
    </row>
    <row r="10" spans="2:22" x14ac:dyDescent="0.25">
      <c r="B10" s="10" t="s">
        <v>1</v>
      </c>
      <c r="C10" s="4">
        <f t="shared" ref="C10:O10" si="4">SUM(C7:C9)</f>
        <v>0</v>
      </c>
      <c r="D10" s="4">
        <f t="shared" si="4"/>
        <v>0</v>
      </c>
      <c r="E10" s="4">
        <f t="shared" si="4"/>
        <v>0</v>
      </c>
      <c r="F10" s="4">
        <f t="shared" si="4"/>
        <v>0</v>
      </c>
      <c r="G10" s="4">
        <f t="shared" si="4"/>
        <v>0</v>
      </c>
      <c r="H10" s="4">
        <f t="shared" si="4"/>
        <v>0</v>
      </c>
      <c r="I10" s="4">
        <f t="shared" si="4"/>
        <v>0</v>
      </c>
      <c r="J10" s="4">
        <f t="shared" si="4"/>
        <v>0</v>
      </c>
      <c r="K10" s="4">
        <f t="shared" si="4"/>
        <v>0</v>
      </c>
      <c r="L10" s="4">
        <f t="shared" si="4"/>
        <v>0</v>
      </c>
      <c r="M10" s="4">
        <f t="shared" si="4"/>
        <v>0</v>
      </c>
      <c r="N10" s="4">
        <f t="shared" si="4"/>
        <v>0</v>
      </c>
      <c r="O10" s="4">
        <f t="shared" si="4"/>
        <v>0</v>
      </c>
    </row>
    <row r="12" spans="2:22" x14ac:dyDescent="0.25">
      <c r="B12" s="2" t="s">
        <v>19</v>
      </c>
      <c r="C12" s="4">
        <f t="shared" ref="C12:O12" si="5">+C4-C10</f>
        <v>106250000</v>
      </c>
      <c r="D12" s="4">
        <f t="shared" si="5"/>
        <v>93409050</v>
      </c>
      <c r="E12" s="4">
        <f t="shared" si="5"/>
        <v>93500000</v>
      </c>
      <c r="F12" s="4">
        <f t="shared" si="5"/>
        <v>102000000</v>
      </c>
      <c r="G12" s="4">
        <f t="shared" si="5"/>
        <v>102000000</v>
      </c>
      <c r="H12" s="4">
        <f t="shared" si="5"/>
        <v>102000000</v>
      </c>
      <c r="I12" s="4">
        <f t="shared" si="5"/>
        <v>176800000</v>
      </c>
      <c r="J12" s="4">
        <f t="shared" si="5"/>
        <v>314967500</v>
      </c>
      <c r="K12" s="4">
        <f t="shared" si="5"/>
        <v>270792150</v>
      </c>
      <c r="L12" s="4">
        <f t="shared" si="5"/>
        <v>276481149</v>
      </c>
      <c r="M12" s="4">
        <f t="shared" si="5"/>
        <v>176754055.88499999</v>
      </c>
      <c r="N12" s="4">
        <f t="shared" si="5"/>
        <v>288248433.78504997</v>
      </c>
      <c r="O12" s="4">
        <f t="shared" si="5"/>
        <v>324486609.76694143</v>
      </c>
    </row>
    <row r="14" spans="2:22" x14ac:dyDescent="0.25">
      <c r="B14" s="34" t="s">
        <v>33</v>
      </c>
      <c r="C14" s="36" t="str">
        <f>" Assumed duration of "&amp;FIXED(Assumptions!$C$20,0,0)&amp;" years for "&amp;Assumptions!$B$20&amp;" capital improvements"</f>
        <v xml:space="preserve"> Assumed duration of 5 years for Facilities capital improvements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</row>
    <row r="15" spans="2:22" x14ac:dyDescent="0.25">
      <c r="B15" s="39">
        <f>C2</f>
        <v>2015</v>
      </c>
      <c r="C15" s="4">
        <f>IF(C$2&lt;$B15+Assumptions!$C$20,C$12/Assumptions!$C$20,0)</f>
        <v>21250000</v>
      </c>
      <c r="D15" s="4">
        <f>IF(D$2&lt;$B15+Assumptions!$C$20,C$12/Assumptions!$C$20,0)</f>
        <v>21250000</v>
      </c>
      <c r="E15" s="4">
        <f>IF(E$2&lt;$B15+Assumptions!$C$20,C$12/Assumptions!$C$20,0)</f>
        <v>21250000</v>
      </c>
      <c r="F15" s="4">
        <f>IF(F$2&lt;$B15+Assumptions!$C$20,C$12/Assumptions!$C$20,0)</f>
        <v>21250000</v>
      </c>
      <c r="G15" s="4">
        <f>IF(G$2&lt;$B15+Assumptions!$C$20,C$12/Assumptions!$C$20,0)</f>
        <v>21250000</v>
      </c>
      <c r="H15" s="4">
        <f>IF(H$2&lt;$B15+Assumptions!$C$20,$C$12/Assumptions!$C$20,0)</f>
        <v>0</v>
      </c>
      <c r="I15" s="4">
        <f>IF(I$2&lt;$B15+Assumptions!$C$20,$C$12/Assumptions!$C$20,0)</f>
        <v>0</v>
      </c>
      <c r="J15" s="4">
        <f>IF(J$2&lt;$B15+Assumptions!$C$20,$C$12/Assumptions!$C$20,0)</f>
        <v>0</v>
      </c>
      <c r="K15" s="4">
        <f>IF(K$2&lt;$B15+Assumptions!$C$20,$C$12/Assumptions!$C$20,0)</f>
        <v>0</v>
      </c>
      <c r="L15" s="4">
        <f>IF(L$2&lt;$B15+Assumptions!$C$20,$C$12/Assumptions!$C$20,0)</f>
        <v>0</v>
      </c>
      <c r="M15" s="4">
        <f>IF(M$2&lt;$B15+Assumptions!$C$20,$C$12/Assumptions!$C$20,0)</f>
        <v>0</v>
      </c>
      <c r="N15" s="4">
        <f>IF(N$2&lt;$B15+Assumptions!$C$20,$C$12/Assumptions!$C$20,0)</f>
        <v>0</v>
      </c>
      <c r="O15" s="4">
        <f>IF(O$2&lt;$B15+Assumptions!$C$20,$C$12/Assumptions!$C$20,0)</f>
        <v>0</v>
      </c>
    </row>
    <row r="16" spans="2:22" x14ac:dyDescent="0.25">
      <c r="B16" s="39">
        <f>B15+1</f>
        <v>2016</v>
      </c>
      <c r="C16" s="4"/>
      <c r="D16" s="4">
        <f>IF(D$2&lt;$B16+Assumptions!$C$20,D$12/Assumptions!$C$20,0)</f>
        <v>18681810</v>
      </c>
      <c r="E16" s="4">
        <f>IF(E$2&lt;$B16+Assumptions!$C$20,D$12/Assumptions!$C$20,0)</f>
        <v>18681810</v>
      </c>
      <c r="F16" s="4">
        <f>IF(F$2&lt;$B16+Assumptions!$C$20,D$12/Assumptions!$C$20,0)</f>
        <v>18681810</v>
      </c>
      <c r="G16" s="4">
        <f>IF(G$2&lt;$B16+Assumptions!$C$20,D$12/Assumptions!$C$20,0)</f>
        <v>18681810</v>
      </c>
      <c r="H16" s="42">
        <f>IF(H$2&lt;$B16+Assumptions!$C$20,D$12/Assumptions!$C$20,0)/12*(12-$H$49)</f>
        <v>15568175</v>
      </c>
      <c r="I16" s="42">
        <f>IF(I$2&lt;$B16+Assumptions!$C$20,D$12/Assumptions!$C$20,0)+IF(H$2&lt;$B16+Assumptions!$C$20,D$12/Assumptions!$C$20,0)/12*$H$49</f>
        <v>3113635</v>
      </c>
      <c r="J16" s="4">
        <f>IF(J$2&lt;$B16+Assumptions!$C$20,$D$12/Assumptions!$C$20,0)</f>
        <v>0</v>
      </c>
      <c r="K16" s="4">
        <f>IF(K$2&lt;$B16+Assumptions!$C$20,$D$12/Assumptions!$C$20,0)</f>
        <v>0</v>
      </c>
      <c r="L16" s="4">
        <f>IF(L$2&lt;$B16+Assumptions!$C$20,$D$12/Assumptions!$C$20,0)</f>
        <v>0</v>
      </c>
      <c r="M16" s="4">
        <f>IF(M$2&lt;$B16+Assumptions!$C$20,$D$12/Assumptions!$C$20,0)</f>
        <v>0</v>
      </c>
      <c r="N16" s="4">
        <f>IF(N$2&lt;$B16+Assumptions!$C$20,$D$12/Assumptions!$C$20,0)</f>
        <v>0</v>
      </c>
      <c r="O16" s="4">
        <f>IF(O$2&lt;$B16+Assumptions!$C$20,$D$12/Assumptions!$C$20,0)</f>
        <v>0</v>
      </c>
    </row>
    <row r="17" spans="2:15" x14ac:dyDescent="0.25">
      <c r="B17" s="39">
        <f t="shared" ref="B17:B33" si="6">B16+1</f>
        <v>2017</v>
      </c>
      <c r="C17" s="4"/>
      <c r="D17" s="4"/>
      <c r="E17" s="4">
        <f>IF(E$2&lt;$B17+Assumptions!$C$20,E$12/Assumptions!$C$20,0)</f>
        <v>18700000</v>
      </c>
      <c r="F17" s="4">
        <f>IF(F$2&lt;$B17+Assumptions!$C$20,E$12/Assumptions!$C$20,0)</f>
        <v>18700000</v>
      </c>
      <c r="G17" s="4">
        <f>IF(G$2&lt;$B17+Assumptions!$C$20,E$12/Assumptions!$C$20,0)</f>
        <v>18700000</v>
      </c>
      <c r="H17" s="42">
        <f>IF(H$2&lt;$B17+Assumptions!$C$20,E$12/Assumptions!$C$20,0)/12*(12-$H$49)</f>
        <v>15583333.333333332</v>
      </c>
      <c r="I17" s="42">
        <f>IF(I$2&lt;$B17+Assumptions!$C$20,E$12/Assumptions!$C$20,0)++IF(H$2&lt;$B17+Assumptions!$C$20,E$12/Assumptions!$C$20,0)/12*($H$49)</f>
        <v>21816666.666666668</v>
      </c>
      <c r="J17" s="4">
        <f>IF(J$2&lt;$B17+Assumptions!$C$20,$E$12/Assumptions!$C$20,0)</f>
        <v>0</v>
      </c>
      <c r="K17" s="4">
        <f>IF(K$2&lt;$B17+Assumptions!$C$20,$E$12/Assumptions!$C$20,0)</f>
        <v>0</v>
      </c>
      <c r="L17" s="4">
        <f>IF(L$2&lt;$B17+Assumptions!$C$20,$E$12/Assumptions!$C$20,0)</f>
        <v>0</v>
      </c>
      <c r="M17" s="4">
        <f>IF(M$2&lt;$B17+Assumptions!$C$20,$E$12/Assumptions!$C$20,0)</f>
        <v>0</v>
      </c>
      <c r="N17" s="4">
        <f>IF(N$2&lt;$B17+Assumptions!$C$20,$E$12/Assumptions!$C$20,0)</f>
        <v>0</v>
      </c>
      <c r="O17" s="4">
        <f>IF(O$2&lt;$B17+Assumptions!$C$20,$E$12/Assumptions!$C$20,0)</f>
        <v>0</v>
      </c>
    </row>
    <row r="18" spans="2:15" x14ac:dyDescent="0.25">
      <c r="B18" s="39">
        <f t="shared" si="6"/>
        <v>2018</v>
      </c>
      <c r="C18" s="4"/>
      <c r="D18" s="4"/>
      <c r="E18" s="4"/>
      <c r="F18" s="4">
        <f>IF(F$2&lt;$B18+Assumptions!$C$20,F$12/Assumptions!$C$20,0)</f>
        <v>20400000</v>
      </c>
      <c r="G18" s="4">
        <f>IF(G$2&lt;$B18+Assumptions!$C$20,F$12/Assumptions!$C$20,0)</f>
        <v>20400000</v>
      </c>
      <c r="H18" s="42">
        <f>IF(H$2&lt;$B18+Assumptions!$C$20,F$12/Assumptions!$C$20,0)/12*(12-$H$49)</f>
        <v>17000000</v>
      </c>
      <c r="I18" s="42">
        <f>IF(I$2&lt;$B18+Assumptions!$C$20,F$12/Assumptions!$C$20,0)++IF(H$2&lt;$B18+Assumptions!$C$20,F$12/Assumptions!$C$20,0)/12*($H$49)</f>
        <v>23800000</v>
      </c>
      <c r="J18" s="4">
        <f>IF(J$2&lt;$B18+Assumptions!$C$20,F$12/Assumptions!$C$20,0)</f>
        <v>20400000</v>
      </c>
      <c r="K18" s="4">
        <f>IF(K$2&lt;$B18+Assumptions!$C$20,$F$12/Assumptions!$C$20,0)</f>
        <v>0</v>
      </c>
      <c r="L18" s="4">
        <f>IF(L$2&lt;$B18+Assumptions!$C$20,$F$12/Assumptions!$C$20,0)</f>
        <v>0</v>
      </c>
      <c r="M18" s="4">
        <f>IF(M$2&lt;$B18+Assumptions!$C$20,$F$12/Assumptions!$C$20,0)</f>
        <v>0</v>
      </c>
      <c r="N18" s="4">
        <f>IF(N$2&lt;$B18+Assumptions!$C$20,$F$12/Assumptions!$C$20,0)</f>
        <v>0</v>
      </c>
      <c r="O18" s="4">
        <f>IF(O$2&lt;$B18+Assumptions!$C$20,$F$12/Assumptions!$C$20,0)</f>
        <v>0</v>
      </c>
    </row>
    <row r="19" spans="2:15" x14ac:dyDescent="0.25">
      <c r="B19" s="39">
        <f t="shared" si="6"/>
        <v>2019</v>
      </c>
      <c r="C19" s="4"/>
      <c r="D19" s="4"/>
      <c r="E19" s="4"/>
      <c r="F19" s="4"/>
      <c r="G19" s="4">
        <f>IF(G$2&lt;$B19+Assumptions!$C$20,G$12/Assumptions!$C$20,0)</f>
        <v>20400000</v>
      </c>
      <c r="H19" s="42">
        <f>IF(H$2&lt;$B19+Assumptions!$C$20,G$12/Assumptions!$C$20,0)/12*(12-$H$49)</f>
        <v>17000000</v>
      </c>
      <c r="I19" s="42">
        <f>IF(I$2&lt;$B19+Assumptions!$C$20,G$12/Assumptions!$C$20,0)++IF(H$2&lt;$B19+Assumptions!$C$20,G$12/Assumptions!$C$20,0)/12*($H$49)</f>
        <v>23800000</v>
      </c>
      <c r="J19" s="4">
        <f>IF(J$2&lt;$B19+Assumptions!$C$20,G$12/Assumptions!$C$20,0)</f>
        <v>20400000</v>
      </c>
      <c r="K19" s="4">
        <f>IF(K$2&lt;$B19+Assumptions!$C$20,G$12/Assumptions!$C$20,0)</f>
        <v>20400000</v>
      </c>
      <c r="L19" s="4">
        <f>IF(L$2&lt;$B19+Assumptions!$C$20,$G$12/Assumptions!$C$20,0)</f>
        <v>0</v>
      </c>
      <c r="M19" s="4">
        <f>IF(M$2&lt;$B19+Assumptions!$C$20,$G$12/Assumptions!$C$20,0)</f>
        <v>0</v>
      </c>
      <c r="N19" s="4">
        <f>IF(N$2&lt;$B19+Assumptions!$C$20,$G$12/Assumptions!$C$20,0)</f>
        <v>0</v>
      </c>
      <c r="O19" s="4">
        <f>IF(O$2&lt;$B19+Assumptions!$C$20,$G$12/Assumptions!$C$20,0)</f>
        <v>0</v>
      </c>
    </row>
    <row r="20" spans="2:15" x14ac:dyDescent="0.25">
      <c r="B20" s="39">
        <f t="shared" si="6"/>
        <v>2020</v>
      </c>
      <c r="C20" s="4"/>
      <c r="D20" s="4"/>
      <c r="E20" s="4"/>
      <c r="F20" s="4"/>
      <c r="G20" s="4"/>
      <c r="H20" s="42">
        <f>IF(H$2&lt;$B20+Assumptions!$C$20,H$12/Assumptions!$C$20,0)/12*(12-$H$49)</f>
        <v>17000000</v>
      </c>
      <c r="I20" s="42">
        <f>IF(I$2&lt;$B20+Assumptions!$C$20,H$12/Assumptions!$C$20,0)++IF(H$2&lt;$B20+Assumptions!$C$20,H$12/Assumptions!$C$20,0)/12*($H$49)</f>
        <v>23800000</v>
      </c>
      <c r="J20" s="4">
        <f>IF(J$2&lt;$B20+Assumptions!$C$20,H$12/Assumptions!$C$20,0)</f>
        <v>20400000</v>
      </c>
      <c r="K20" s="4">
        <f>IF(K$2&lt;$B20+Assumptions!$C$20,H$12/Assumptions!$C$20,0)</f>
        <v>20400000</v>
      </c>
      <c r="L20" s="4">
        <f>IF(L$2&lt;$B20+Assumptions!$C$20,H$12/Assumptions!$C$20,0)</f>
        <v>20400000</v>
      </c>
      <c r="M20" s="4">
        <f>IF(M$2&lt;$B20+Assumptions!$C$20,$H$12/Assumptions!$C$20,0)</f>
        <v>0</v>
      </c>
      <c r="N20" s="4">
        <f>IF(N$2&lt;$B20+Assumptions!$C$20,$H$12/Assumptions!$C$20,0)</f>
        <v>0</v>
      </c>
      <c r="O20" s="4">
        <f>IF(O$2&lt;$B20+Assumptions!$C$20,$H$12/Assumptions!$C$20,0)</f>
        <v>0</v>
      </c>
    </row>
    <row r="21" spans="2:15" x14ac:dyDescent="0.25">
      <c r="B21" s="39">
        <f t="shared" si="6"/>
        <v>2021</v>
      </c>
      <c r="C21" s="4"/>
      <c r="D21" s="4"/>
      <c r="E21" s="4"/>
      <c r="F21" s="4"/>
      <c r="G21" s="4"/>
      <c r="H21" s="4"/>
      <c r="I21" s="4">
        <f>IF(I$2&lt;$B21+Assumptions!$C$20,I$12/Assumptions!$C$20,0)</f>
        <v>35360000</v>
      </c>
      <c r="J21" s="4">
        <f>IF(J$2&lt;$B21+Assumptions!$C$20,I$12/Assumptions!$C$20,0)</f>
        <v>35360000</v>
      </c>
      <c r="K21" s="4">
        <f>IF(K$2&lt;$B21+Assumptions!$C$20,I$12/Assumptions!$C$20,0)</f>
        <v>35360000</v>
      </c>
      <c r="L21" s="4">
        <f>IF(L$2&lt;$B21+Assumptions!$C$20,I$12/Assumptions!$C$20,0)</f>
        <v>35360000</v>
      </c>
      <c r="M21" s="4">
        <f>IF(M$2&lt;$B21+Assumptions!$C$20,I$12/Assumptions!$C$20,0)</f>
        <v>35360000</v>
      </c>
      <c r="N21" s="4">
        <f>IF(N$2&lt;$B21+Assumptions!$C$20,$I$12/Assumptions!$C$20,0)</f>
        <v>0</v>
      </c>
      <c r="O21" s="4">
        <f>IF(O$2&lt;$B21+Assumptions!$C$20,$I$12/Assumptions!$C$20,0)</f>
        <v>0</v>
      </c>
    </row>
    <row r="22" spans="2:15" x14ac:dyDescent="0.25">
      <c r="B22" s="39">
        <f t="shared" si="6"/>
        <v>2022</v>
      </c>
      <c r="C22" s="4"/>
      <c r="D22" s="4"/>
      <c r="E22" s="4"/>
      <c r="F22" s="4"/>
      <c r="G22" s="4"/>
      <c r="H22" s="4"/>
      <c r="I22" s="4"/>
      <c r="J22" s="4">
        <f>IF(J$2&lt;$B22+Assumptions!$C$20,J$12/Assumptions!$C$20,0)</f>
        <v>62993500</v>
      </c>
      <c r="K22" s="4">
        <f>IF(K$2&lt;$B22+Assumptions!$C$20,J$12/Assumptions!$C$20,0)</f>
        <v>62993500</v>
      </c>
      <c r="L22" s="4">
        <f>IF(L$2&lt;$B22+Assumptions!$C$20,J$12/Assumptions!$C$20,0)</f>
        <v>62993500</v>
      </c>
      <c r="M22" s="4">
        <f>IF(M$2&lt;$B22+Assumptions!$C$20,J$12/Assumptions!$C$20,0)</f>
        <v>62993500</v>
      </c>
      <c r="N22" s="4">
        <f>IF(N$2&lt;$B22+Assumptions!$C$20,$J$12/Assumptions!$C$20,0)</f>
        <v>62993500</v>
      </c>
      <c r="O22" s="4">
        <f>IF(O$2&lt;$B22+Assumptions!$C$20,$J$12/Assumptions!$C$20,0)</f>
        <v>0</v>
      </c>
    </row>
    <row r="23" spans="2:15" x14ac:dyDescent="0.25">
      <c r="B23" s="39">
        <f t="shared" si="6"/>
        <v>2023</v>
      </c>
      <c r="C23" s="4"/>
      <c r="D23" s="4"/>
      <c r="E23" s="4"/>
      <c r="F23" s="4"/>
      <c r="G23" s="4"/>
      <c r="H23" s="4"/>
      <c r="I23" s="4"/>
      <c r="J23" s="4"/>
      <c r="K23" s="4">
        <f>IF(K$2&lt;$B23+Assumptions!$C$20,K$12/Assumptions!$C$20,0)</f>
        <v>54158430</v>
      </c>
      <c r="L23" s="4">
        <f>IF(L$2&lt;$B23+Assumptions!$C$20,K$12/Assumptions!$C$20,0)</f>
        <v>54158430</v>
      </c>
      <c r="M23" s="4">
        <f>IF(M$2&lt;$B23+Assumptions!$C$20,K$12/Assumptions!$C$20,0)</f>
        <v>54158430</v>
      </c>
      <c r="N23" s="4">
        <f>IF(N$2&lt;$B23+Assumptions!$C$20,K$12/Assumptions!$C$20,0)</f>
        <v>54158430</v>
      </c>
      <c r="O23" s="4">
        <f>IF(O$2&lt;$B23+Assumptions!$C$20,K$12/Assumptions!$C$20,0)</f>
        <v>54158430</v>
      </c>
    </row>
    <row r="24" spans="2:15" x14ac:dyDescent="0.25">
      <c r="B24" s="39">
        <f t="shared" si="6"/>
        <v>2024</v>
      </c>
      <c r="C24" s="4"/>
      <c r="D24" s="4"/>
      <c r="E24" s="4"/>
      <c r="F24" s="4"/>
      <c r="G24" s="4"/>
      <c r="H24" s="4"/>
      <c r="I24" s="4"/>
      <c r="J24" s="4"/>
      <c r="K24" s="4"/>
      <c r="L24" s="4">
        <f>IF(L$2&lt;$B24+Assumptions!$C$20,L$12/Assumptions!$C$20,0)</f>
        <v>55296229.799999997</v>
      </c>
      <c r="M24" s="4">
        <f>IF(M$2&lt;$B24+Assumptions!$C$20,L$12/Assumptions!$C$20,0)</f>
        <v>55296229.799999997</v>
      </c>
      <c r="N24" s="4">
        <f>IF(N$2&lt;$B24+Assumptions!$C$20,L$12/Assumptions!$C$20,0)</f>
        <v>55296229.799999997</v>
      </c>
      <c r="O24" s="4">
        <f>IF(O$2&lt;$B24+Assumptions!$C$20,L$12/Assumptions!$C$20,0)</f>
        <v>55296229.799999997</v>
      </c>
    </row>
    <row r="25" spans="2:15" x14ac:dyDescent="0.25">
      <c r="B25" s="39">
        <f t="shared" si="6"/>
        <v>2025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>
        <f>IF(M$2&lt;$B25+Assumptions!$C$20,M$12/Assumptions!$C$20,0)</f>
        <v>35350811.177000001</v>
      </c>
      <c r="N25" s="4">
        <f>IF(N$2&lt;$B25+Assumptions!$C$20,M$12/Assumptions!$C$20,0)</f>
        <v>35350811.177000001</v>
      </c>
      <c r="O25" s="4">
        <f>IF(O$2&lt;$B25+Assumptions!$C$20,M$12/Assumptions!$C$20,0)</f>
        <v>35350811.177000001</v>
      </c>
    </row>
    <row r="26" spans="2:15" x14ac:dyDescent="0.25">
      <c r="B26" s="39">
        <f t="shared" si="6"/>
        <v>2026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>
        <f>IF(N$2&lt;$B26+Assumptions!$C$20,N$12/Assumptions!$C$20,0)</f>
        <v>57649686.757009998</v>
      </c>
      <c r="O26" s="4">
        <f>IF(O$2&lt;$B26+Assumptions!$C$20,N$12/Assumptions!$C$20,0)</f>
        <v>57649686.757009998</v>
      </c>
    </row>
    <row r="27" spans="2:15" x14ac:dyDescent="0.25">
      <c r="B27" s="39">
        <f t="shared" si="6"/>
        <v>2027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>
        <f>IF(O$2&lt;$B27+Assumptions!$C$20,O$12/Assumptions!$C$20,0)</f>
        <v>64897321.953388289</v>
      </c>
    </row>
    <row r="28" spans="2:15" x14ac:dyDescent="0.25">
      <c r="B28" s="39">
        <f t="shared" si="6"/>
        <v>2028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2:15" x14ac:dyDescent="0.25">
      <c r="B29" s="39">
        <f t="shared" si="6"/>
        <v>2029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2:15" x14ac:dyDescent="0.25">
      <c r="B30" s="39">
        <f t="shared" si="6"/>
        <v>2030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2:15" x14ac:dyDescent="0.25">
      <c r="B31" s="39">
        <f t="shared" si="6"/>
        <v>2031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2:15" x14ac:dyDescent="0.25">
      <c r="B32" s="39">
        <f t="shared" si="6"/>
        <v>2032</v>
      </c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2:23" x14ac:dyDescent="0.25">
      <c r="B33" s="39">
        <f t="shared" si="6"/>
        <v>2033</v>
      </c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2:23" x14ac:dyDescent="0.25">
      <c r="B34" s="3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6" spans="2:23" x14ac:dyDescent="0.25">
      <c r="B36" s="2" t="s">
        <v>3</v>
      </c>
      <c r="C36" s="4">
        <f>SUM(C15:C33)</f>
        <v>21250000</v>
      </c>
      <c r="D36" s="4">
        <f t="shared" ref="D36:O36" si="7">SUM(D15:D33)</f>
        <v>39931810</v>
      </c>
      <c r="E36" s="4">
        <f t="shared" si="7"/>
        <v>58631810</v>
      </c>
      <c r="F36" s="4">
        <f t="shared" si="7"/>
        <v>79031810</v>
      </c>
      <c r="G36" s="4">
        <f t="shared" si="7"/>
        <v>99431810</v>
      </c>
      <c r="H36" s="4">
        <f t="shared" si="7"/>
        <v>82151508.333333328</v>
      </c>
      <c r="I36" s="4">
        <f t="shared" si="7"/>
        <v>131690301.66666667</v>
      </c>
      <c r="J36" s="4">
        <f t="shared" si="7"/>
        <v>159553500</v>
      </c>
      <c r="K36" s="4">
        <f t="shared" si="7"/>
        <v>193311930</v>
      </c>
      <c r="L36" s="4">
        <f t="shared" si="7"/>
        <v>228208159.80000001</v>
      </c>
      <c r="M36" s="4">
        <f t="shared" si="7"/>
        <v>243158970.977</v>
      </c>
      <c r="N36" s="4">
        <f t="shared" si="7"/>
        <v>265448657.73400998</v>
      </c>
      <c r="O36" s="4">
        <f t="shared" si="7"/>
        <v>267352479.68739825</v>
      </c>
    </row>
    <row r="37" spans="2:23" x14ac:dyDescent="0.25">
      <c r="G37" s="8"/>
      <c r="H37" s="8"/>
      <c r="I37" s="8"/>
      <c r="J37" s="8"/>
      <c r="K37" s="8"/>
      <c r="L37" s="8"/>
      <c r="M37" s="8"/>
      <c r="N37" s="8"/>
      <c r="O37" s="8"/>
    </row>
    <row r="38" spans="2:23" x14ac:dyDescent="0.25">
      <c r="B38" s="2" t="s">
        <v>17</v>
      </c>
    </row>
    <row r="39" spans="2:23" x14ac:dyDescent="0.25">
      <c r="B39" s="3" t="s">
        <v>70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V39" s="4"/>
      <c r="W39" s="4"/>
    </row>
    <row r="40" spans="2:23" x14ac:dyDescent="0.25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V40" s="4"/>
      <c r="W40" s="4"/>
    </row>
    <row r="42" spans="2:23" x14ac:dyDescent="0.25">
      <c r="B42" s="10" t="s">
        <v>1</v>
      </c>
      <c r="C42" s="4">
        <f t="shared" ref="C42:O42" si="8">SUM(C39:C41)</f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8"/>
        <v>0</v>
      </c>
    </row>
    <row r="44" spans="2:23" x14ac:dyDescent="0.25">
      <c r="B44" s="22" t="s">
        <v>4</v>
      </c>
      <c r="C44" s="23">
        <f t="shared" ref="C44:O44" si="9">+C42+C36</f>
        <v>21250000</v>
      </c>
      <c r="D44" s="23">
        <f t="shared" si="9"/>
        <v>39931810</v>
      </c>
      <c r="E44" s="23">
        <f t="shared" si="9"/>
        <v>58631810</v>
      </c>
      <c r="F44" s="23">
        <f t="shared" si="9"/>
        <v>79031810</v>
      </c>
      <c r="G44" s="23">
        <f t="shared" si="9"/>
        <v>99431810</v>
      </c>
      <c r="H44" s="23">
        <f t="shared" si="9"/>
        <v>82151508.333333328</v>
      </c>
      <c r="I44" s="23">
        <f t="shared" si="9"/>
        <v>131690301.66666667</v>
      </c>
      <c r="J44" s="23">
        <f t="shared" si="9"/>
        <v>159553500</v>
      </c>
      <c r="K44" s="23">
        <f t="shared" si="9"/>
        <v>193311930</v>
      </c>
      <c r="L44" s="23">
        <f t="shared" si="9"/>
        <v>228208159.80000001</v>
      </c>
      <c r="M44" s="23">
        <f t="shared" si="9"/>
        <v>243158970.977</v>
      </c>
      <c r="N44" s="23">
        <f t="shared" si="9"/>
        <v>265448657.73400998</v>
      </c>
      <c r="O44" s="23">
        <f t="shared" si="9"/>
        <v>267352479.68739825</v>
      </c>
    </row>
    <row r="45" spans="2:23" s="15" customFormat="1" x14ac:dyDescent="0.25">
      <c r="C45" s="19"/>
      <c r="D45" s="19"/>
      <c r="E45" s="19"/>
      <c r="F45" s="19"/>
      <c r="G45" s="19"/>
      <c r="H45" s="19"/>
    </row>
    <row r="46" spans="2:23" s="15" customFormat="1" x14ac:dyDescent="0.25"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</row>
    <row r="47" spans="2:23" s="15" customFormat="1" x14ac:dyDescent="0.25"/>
    <row r="48" spans="2:23" s="15" customFormat="1" x14ac:dyDescent="0.25">
      <c r="C48" s="20"/>
      <c r="D48" s="20"/>
      <c r="E48" s="20"/>
      <c r="F48" s="20"/>
      <c r="G48" s="20"/>
    </row>
    <row r="49" spans="2:15" s="15" customFormat="1" x14ac:dyDescent="0.25">
      <c r="B49" s="15" t="s">
        <v>48</v>
      </c>
      <c r="C49" s="19"/>
      <c r="D49" s="19"/>
      <c r="E49" s="19"/>
      <c r="F49" s="19"/>
      <c r="G49" s="19"/>
      <c r="H49" s="45">
        <v>2</v>
      </c>
      <c r="I49" s="1" t="s">
        <v>69</v>
      </c>
    </row>
    <row r="50" spans="2:15" s="15" customFormat="1" x14ac:dyDescent="0.25">
      <c r="C50" s="19"/>
      <c r="D50" s="19"/>
      <c r="E50" s="19"/>
      <c r="F50" s="19"/>
      <c r="G50" s="19"/>
      <c r="H50" s="1"/>
    </row>
    <row r="53" spans="2:15" s="15" customFormat="1" x14ac:dyDescent="0.25"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</row>
    <row r="54" spans="2:15" s="15" customFormat="1" x14ac:dyDescent="0.25"/>
    <row r="55" spans="2:15" s="15" customFormat="1" x14ac:dyDescent="0.25"/>
    <row r="56" spans="2:15" s="15" customFormat="1" x14ac:dyDescent="0.25"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</row>
    <row r="57" spans="2:15" s="15" customFormat="1" x14ac:dyDescent="0.25"/>
    <row r="58" spans="2:15" s="15" customFormat="1" x14ac:dyDescent="0.25">
      <c r="B58" s="17"/>
    </row>
    <row r="59" spans="2:15" s="15" customFormat="1" x14ac:dyDescent="0.25">
      <c r="B59" s="18"/>
      <c r="C59" s="16"/>
    </row>
    <row r="60" spans="2:15" s="15" customFormat="1" x14ac:dyDescent="0.25">
      <c r="B60" s="18"/>
      <c r="C60" s="16"/>
      <c r="D60" s="16"/>
    </row>
    <row r="61" spans="2:15" s="15" customFormat="1" x14ac:dyDescent="0.25">
      <c r="B61" s="18"/>
      <c r="C61" s="16"/>
      <c r="D61" s="16"/>
      <c r="E61" s="16"/>
    </row>
    <row r="62" spans="2:15" s="15" customFormat="1" x14ac:dyDescent="0.25">
      <c r="B62" s="18"/>
      <c r="C62" s="16"/>
      <c r="D62" s="16"/>
      <c r="E62" s="16"/>
      <c r="F62" s="16"/>
    </row>
    <row r="63" spans="2:15" s="15" customFormat="1" x14ac:dyDescent="0.25">
      <c r="B63" s="18"/>
      <c r="C63" s="16"/>
      <c r="D63" s="16"/>
      <c r="E63" s="16"/>
      <c r="F63" s="16"/>
      <c r="G63" s="16"/>
    </row>
    <row r="64" spans="2:15" s="15" customFormat="1" x14ac:dyDescent="0.25">
      <c r="B64" s="18"/>
      <c r="D64" s="16"/>
      <c r="E64" s="16"/>
      <c r="F64" s="16"/>
      <c r="G64" s="16"/>
      <c r="H64" s="16"/>
    </row>
    <row r="65" spans="2:18" s="15" customFormat="1" x14ac:dyDescent="0.25">
      <c r="B65" s="18"/>
      <c r="E65" s="16"/>
      <c r="F65" s="16"/>
      <c r="G65" s="16"/>
      <c r="H65" s="16"/>
      <c r="I65" s="16"/>
    </row>
    <row r="66" spans="2:18" s="15" customFormat="1" x14ac:dyDescent="0.25">
      <c r="B66" s="18"/>
      <c r="F66" s="16"/>
      <c r="G66" s="16"/>
      <c r="H66" s="16"/>
      <c r="I66" s="16"/>
      <c r="J66" s="16"/>
      <c r="K66" s="16"/>
    </row>
    <row r="67" spans="2:18" s="15" customFormat="1" x14ac:dyDescent="0.25">
      <c r="B67" s="18"/>
      <c r="G67" s="16"/>
      <c r="H67" s="16"/>
      <c r="I67" s="16"/>
      <c r="J67" s="16"/>
      <c r="K67" s="16"/>
    </row>
    <row r="68" spans="2:18" s="15" customFormat="1" x14ac:dyDescent="0.25">
      <c r="B68" s="18"/>
      <c r="H68" s="16"/>
      <c r="I68" s="16"/>
      <c r="J68" s="16"/>
      <c r="K68" s="16"/>
      <c r="L68" s="16"/>
      <c r="N68" s="16"/>
    </row>
    <row r="69" spans="2:18" s="15" customFormat="1" x14ac:dyDescent="0.25">
      <c r="B69" s="18"/>
      <c r="I69" s="16"/>
      <c r="J69" s="16"/>
      <c r="K69" s="16"/>
      <c r="L69" s="16"/>
      <c r="M69" s="16"/>
      <c r="N69" s="16"/>
      <c r="O69" s="16"/>
    </row>
    <row r="70" spans="2:18" s="15" customFormat="1" x14ac:dyDescent="0.25">
      <c r="B70" s="18"/>
      <c r="J70" s="16"/>
      <c r="K70" s="16"/>
      <c r="L70" s="16"/>
      <c r="M70" s="16"/>
      <c r="N70" s="16"/>
      <c r="O70" s="16"/>
    </row>
    <row r="71" spans="2:18" s="15" customFormat="1" x14ac:dyDescent="0.25">
      <c r="B71" s="18"/>
      <c r="K71" s="16"/>
      <c r="L71" s="16"/>
      <c r="M71" s="16"/>
      <c r="N71" s="16"/>
      <c r="O71" s="16"/>
      <c r="P71" s="16"/>
    </row>
    <row r="72" spans="2:18" s="15" customFormat="1" x14ac:dyDescent="0.25">
      <c r="B72" s="18"/>
      <c r="L72" s="16"/>
      <c r="M72" s="16"/>
      <c r="N72" s="16"/>
      <c r="O72" s="16"/>
      <c r="P72" s="16"/>
      <c r="Q72" s="16"/>
      <c r="R72" s="16"/>
    </row>
    <row r="73" spans="2:18" s="15" customFormat="1" x14ac:dyDescent="0.25">
      <c r="B73" s="18"/>
      <c r="M73" s="16"/>
      <c r="O73" s="16"/>
      <c r="P73" s="16"/>
      <c r="Q73" s="16"/>
      <c r="R73" s="16"/>
    </row>
    <row r="74" spans="2:18" s="15" customFormat="1" x14ac:dyDescent="0.25">
      <c r="B74" s="18"/>
    </row>
    <row r="75" spans="2:18" s="15" customFormat="1" x14ac:dyDescent="0.25"/>
    <row r="76" spans="2:18" s="15" customFormat="1" x14ac:dyDescent="0.25">
      <c r="B76" s="17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</row>
    <row r="77" spans="2:18" s="15" customFormat="1" x14ac:dyDescent="0.25"/>
    <row r="78" spans="2:18" s="15" customFormat="1" x14ac:dyDescent="0.25">
      <c r="B78" s="17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F8E3ECBEF85843B606D14509462638" ma:contentTypeVersion="" ma:contentTypeDescription="Create a new document." ma:contentTypeScope="" ma:versionID="6e4011330ea539c64c6eea9f25a9e37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35D839B-A520-4924-9C70-BD0BDAA18DA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705DB37-52E0-4F28-A3B9-111E353C81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42169-6C19-4951-A082-189CE570F3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File Info</vt:lpstr>
      <vt:lpstr>Assumptions</vt:lpstr>
      <vt:lpstr>PWD CIP</vt:lpstr>
      <vt:lpstr>Conveyance System</vt:lpstr>
      <vt:lpstr>Collector System</vt:lpstr>
      <vt:lpstr>Facilities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Jagt, Dave A.</dc:creator>
  <cp:lastModifiedBy>Jagt, Dave A.</cp:lastModifiedBy>
  <dcterms:created xsi:type="dcterms:W3CDTF">2019-11-06T16:07:58Z</dcterms:created>
  <dcterms:modified xsi:type="dcterms:W3CDTF">2021-01-22T20:15:31Z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0x0101006FF8E3ECBEF85843B606D14509462638</vt:lpwstr>
  </property>
</Properties>
</file>