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d.projectcentral.bv.com/sites/401641.1/Shared Documents/Rate Proceeding Files/Discovery/Response Attachments/"/>
    </mc:Choice>
  </mc:AlternateContent>
  <xr:revisionPtr revIDLastSave="0" documentId="13_ncr:1_{4D648890-B708-4CF1-9B90-02BBB1DC476A}" xr6:coauthVersionLast="36" xr6:coauthVersionMax="41" xr10:uidLastSave="{00000000-0000-0000-0000-000000000000}"/>
  <bookViews>
    <workbookView xWindow="0" yWindow="0" windowWidth="21600" windowHeight="8925" tabRatio="831" xr2:uid="{E1CA75B5-4985-4F70-AF24-FD925E5C0E81}"/>
  </bookViews>
  <sheets>
    <sheet name="File Info" sheetId="11" r:id="rId1"/>
    <sheet name="Assumptions" sheetId="8" r:id="rId2"/>
    <sheet name="PWD CIP" sheetId="9" r:id="rId3"/>
    <sheet name="Water Master Plan" sheetId="10" r:id="rId4"/>
    <sheet name="Conveyance System" sheetId="2" r:id="rId5"/>
    <sheet name="Collector System" sheetId="3" r:id="rId6"/>
    <sheet name="Facilities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4" l="1"/>
  <c r="M24" i="4"/>
  <c r="L24" i="4"/>
  <c r="M23" i="4"/>
  <c r="L23" i="4"/>
  <c r="K23" i="4"/>
  <c r="M22" i="4"/>
  <c r="L22" i="4"/>
  <c r="K22" i="4"/>
  <c r="J22" i="4"/>
  <c r="M21" i="4"/>
  <c r="L21" i="4"/>
  <c r="K21" i="4"/>
  <c r="J21" i="4"/>
  <c r="I21" i="4"/>
  <c r="M20" i="4"/>
  <c r="L20" i="4"/>
  <c r="K20" i="4"/>
  <c r="J20" i="4"/>
  <c r="I20" i="4"/>
  <c r="H20" i="4"/>
  <c r="M19" i="4"/>
  <c r="L19" i="4"/>
  <c r="K19" i="4"/>
  <c r="J19" i="4"/>
  <c r="I19" i="4"/>
  <c r="H19" i="4"/>
  <c r="G19" i="4"/>
  <c r="M18" i="4"/>
  <c r="L18" i="4"/>
  <c r="K18" i="4"/>
  <c r="J18" i="4"/>
  <c r="I18" i="4"/>
  <c r="H18" i="4"/>
  <c r="G18" i="4"/>
  <c r="F18" i="4"/>
  <c r="M17" i="4"/>
  <c r="L17" i="4"/>
  <c r="K17" i="4"/>
  <c r="J17" i="4"/>
  <c r="I17" i="4"/>
  <c r="H17" i="4"/>
  <c r="G17" i="4"/>
  <c r="F17" i="4"/>
  <c r="E17" i="4"/>
  <c r="M16" i="4"/>
  <c r="L16" i="4"/>
  <c r="K16" i="4"/>
  <c r="J16" i="4"/>
  <c r="I16" i="4"/>
  <c r="H16" i="4"/>
  <c r="G16" i="4"/>
  <c r="F16" i="4"/>
  <c r="E16" i="4"/>
  <c r="D16" i="4"/>
  <c r="M15" i="4"/>
  <c r="L15" i="4"/>
  <c r="K15" i="4"/>
  <c r="J15" i="4"/>
  <c r="I15" i="4"/>
  <c r="H15" i="4"/>
  <c r="G15" i="4"/>
  <c r="F15" i="4"/>
  <c r="E15" i="4"/>
  <c r="D15" i="4"/>
  <c r="C15" i="4"/>
  <c r="M25" i="3"/>
  <c r="M24" i="3"/>
  <c r="L24" i="3"/>
  <c r="M23" i="3"/>
  <c r="L23" i="3"/>
  <c r="K23" i="3"/>
  <c r="M22" i="3"/>
  <c r="L22" i="3"/>
  <c r="K22" i="3"/>
  <c r="J22" i="3"/>
  <c r="M21" i="3"/>
  <c r="L21" i="3"/>
  <c r="K21" i="3"/>
  <c r="J21" i="3"/>
  <c r="I21" i="3"/>
  <c r="M20" i="3"/>
  <c r="L20" i="3"/>
  <c r="K20" i="3"/>
  <c r="J20" i="3"/>
  <c r="I20" i="3"/>
  <c r="H20" i="3"/>
  <c r="M19" i="3"/>
  <c r="L19" i="3"/>
  <c r="K19" i="3"/>
  <c r="J19" i="3"/>
  <c r="I19" i="3"/>
  <c r="H19" i="3"/>
  <c r="G19" i="3"/>
  <c r="M18" i="3"/>
  <c r="L18" i="3"/>
  <c r="K18" i="3"/>
  <c r="J18" i="3"/>
  <c r="I18" i="3"/>
  <c r="H18" i="3"/>
  <c r="G18" i="3"/>
  <c r="F18" i="3"/>
  <c r="M17" i="3"/>
  <c r="L17" i="3"/>
  <c r="K17" i="3"/>
  <c r="J17" i="3"/>
  <c r="I17" i="3"/>
  <c r="H17" i="3"/>
  <c r="G17" i="3"/>
  <c r="F17" i="3"/>
  <c r="E17" i="3"/>
  <c r="M16" i="3"/>
  <c r="L16" i="3"/>
  <c r="K16" i="3"/>
  <c r="J16" i="3"/>
  <c r="I16" i="3"/>
  <c r="H16" i="3"/>
  <c r="G16" i="3"/>
  <c r="F16" i="3"/>
  <c r="E16" i="3"/>
  <c r="D16" i="3"/>
  <c r="M15" i="3"/>
  <c r="L15" i="3"/>
  <c r="K15" i="3"/>
  <c r="J15" i="3"/>
  <c r="I15" i="3"/>
  <c r="H15" i="3"/>
  <c r="G15" i="3"/>
  <c r="F15" i="3"/>
  <c r="E15" i="3"/>
  <c r="D15" i="3"/>
  <c r="C15" i="3"/>
  <c r="M25" i="2"/>
  <c r="M24" i="2"/>
  <c r="L24" i="2"/>
  <c r="M23" i="2"/>
  <c r="L23" i="2"/>
  <c r="K23" i="2"/>
  <c r="M22" i="2"/>
  <c r="L22" i="2"/>
  <c r="K22" i="2"/>
  <c r="J22" i="2"/>
  <c r="M21" i="2"/>
  <c r="L21" i="2"/>
  <c r="K21" i="2"/>
  <c r="J21" i="2"/>
  <c r="I21" i="2"/>
  <c r="M20" i="2"/>
  <c r="L20" i="2"/>
  <c r="K20" i="2"/>
  <c r="J20" i="2"/>
  <c r="I20" i="2"/>
  <c r="H20" i="2"/>
  <c r="M19" i="2"/>
  <c r="L19" i="2"/>
  <c r="K19" i="2"/>
  <c r="J19" i="2"/>
  <c r="I19" i="2"/>
  <c r="H19" i="2"/>
  <c r="G19" i="2"/>
  <c r="M18" i="2"/>
  <c r="L18" i="2"/>
  <c r="K18" i="2"/>
  <c r="J18" i="2"/>
  <c r="I18" i="2"/>
  <c r="H18" i="2"/>
  <c r="G18" i="2"/>
  <c r="F18" i="2"/>
  <c r="M17" i="2"/>
  <c r="L17" i="2"/>
  <c r="K17" i="2"/>
  <c r="J17" i="2"/>
  <c r="I17" i="2"/>
  <c r="H17" i="2"/>
  <c r="G17" i="2"/>
  <c r="F17" i="2"/>
  <c r="E17" i="2"/>
  <c r="M16" i="2"/>
  <c r="L16" i="2"/>
  <c r="K16" i="2"/>
  <c r="J16" i="2"/>
  <c r="I16" i="2"/>
  <c r="H16" i="2"/>
  <c r="G16" i="2"/>
  <c r="F16" i="2"/>
  <c r="E16" i="2"/>
  <c r="D16" i="2"/>
  <c r="M15" i="2"/>
  <c r="L15" i="2"/>
  <c r="K15" i="2"/>
  <c r="J15" i="2"/>
  <c r="I15" i="2"/>
  <c r="H15" i="2"/>
  <c r="G15" i="2"/>
  <c r="F15" i="2"/>
  <c r="E15" i="2"/>
  <c r="D15" i="2"/>
  <c r="C15" i="2"/>
  <c r="I46" i="9"/>
  <c r="B2" i="9"/>
  <c r="C14" i="4"/>
  <c r="C14" i="3"/>
  <c r="C14" i="2"/>
  <c r="C3" i="11" l="1"/>
  <c r="B2" i="4" l="1"/>
  <c r="B2" i="3"/>
  <c r="B2" i="2"/>
  <c r="B2" i="10"/>
  <c r="J28" i="10" l="1"/>
  <c r="I28" i="10"/>
  <c r="M31" i="9" l="1"/>
  <c r="L31" i="9"/>
  <c r="K31" i="9"/>
  <c r="J31" i="9"/>
  <c r="I31" i="9"/>
  <c r="H31" i="9"/>
  <c r="G31" i="9"/>
  <c r="F31" i="9"/>
  <c r="E31" i="9"/>
  <c r="D31" i="9"/>
  <c r="C31" i="9"/>
  <c r="M30" i="9"/>
  <c r="L30" i="9"/>
  <c r="K30" i="9"/>
  <c r="J30" i="9"/>
  <c r="I30" i="9"/>
  <c r="H30" i="9"/>
  <c r="G30" i="9"/>
  <c r="F30" i="9"/>
  <c r="E30" i="9"/>
  <c r="D30" i="9"/>
  <c r="C30" i="9"/>
  <c r="M29" i="9"/>
  <c r="L29" i="9"/>
  <c r="K29" i="9"/>
  <c r="J29" i="9"/>
  <c r="I29" i="9"/>
  <c r="H29" i="9"/>
  <c r="G29" i="9"/>
  <c r="F29" i="9"/>
  <c r="E29" i="9"/>
  <c r="D29" i="9"/>
  <c r="C29" i="9"/>
  <c r="M28" i="9"/>
  <c r="L28" i="9"/>
  <c r="K28" i="9"/>
  <c r="J28" i="9"/>
  <c r="I28" i="9"/>
  <c r="H28" i="9"/>
  <c r="G28" i="9"/>
  <c r="F28" i="9"/>
  <c r="E28" i="9"/>
  <c r="D28" i="9"/>
  <c r="C28" i="9"/>
  <c r="J17" i="9"/>
  <c r="K17" i="9" s="1"/>
  <c r="L17" i="9" s="1"/>
  <c r="H23" i="9"/>
  <c r="D23" i="9"/>
  <c r="M6" i="9"/>
  <c r="L6" i="9"/>
  <c r="K6" i="9"/>
  <c r="J6" i="9"/>
  <c r="I6" i="9"/>
  <c r="H6" i="9"/>
  <c r="G6" i="9"/>
  <c r="G23" i="9" s="1"/>
  <c r="F6" i="9"/>
  <c r="F12" i="9" s="1"/>
  <c r="E6" i="9"/>
  <c r="D6" i="9"/>
  <c r="C6" i="9"/>
  <c r="C23" i="9" s="1"/>
  <c r="F27" i="9" l="1"/>
  <c r="F33" i="9" s="1"/>
  <c r="E27" i="9"/>
  <c r="E33" i="9" s="1"/>
  <c r="D12" i="9"/>
  <c r="L27" i="9"/>
  <c r="L33" i="9" s="1"/>
  <c r="G27" i="9"/>
  <c r="G33" i="9" s="1"/>
  <c r="H12" i="9"/>
  <c r="H27" i="9"/>
  <c r="H33" i="9" s="1"/>
  <c r="L12" i="9"/>
  <c r="I27" i="9"/>
  <c r="I33" i="9" s="1"/>
  <c r="J27" i="9"/>
  <c r="J33" i="9" s="1"/>
  <c r="C27" i="9"/>
  <c r="C33" i="9" s="1"/>
  <c r="K27" i="9"/>
  <c r="D27" i="9"/>
  <c r="D33" i="9" s="1"/>
  <c r="M17" i="9"/>
  <c r="L23" i="9"/>
  <c r="K23" i="9"/>
  <c r="J23" i="9"/>
  <c r="E23" i="9"/>
  <c r="F23" i="9"/>
  <c r="I23" i="9"/>
  <c r="G12" i="9"/>
  <c r="J12" i="9"/>
  <c r="I12" i="9"/>
  <c r="C12" i="9"/>
  <c r="K12" i="9"/>
  <c r="E12" i="9"/>
  <c r="M12" i="9"/>
  <c r="G39" i="10"/>
  <c r="G31" i="4" s="1"/>
  <c r="G38" i="10"/>
  <c r="G36" i="10"/>
  <c r="G30" i="2" s="1"/>
  <c r="M31" i="10"/>
  <c r="M33" i="10" s="1"/>
  <c r="L31" i="10"/>
  <c r="L33" i="10" s="1"/>
  <c r="K31" i="10"/>
  <c r="K33" i="10" s="1"/>
  <c r="J31" i="10"/>
  <c r="J33" i="10" s="1"/>
  <c r="I31" i="10"/>
  <c r="I33" i="10" s="1"/>
  <c r="H31" i="10"/>
  <c r="H33" i="10" s="1"/>
  <c r="G31" i="10"/>
  <c r="G33" i="10" s="1"/>
  <c r="F31" i="10"/>
  <c r="F33" i="10" s="1"/>
  <c r="E31" i="10"/>
  <c r="E33" i="10" s="1"/>
  <c r="D31" i="10"/>
  <c r="D33" i="10" s="1"/>
  <c r="C31" i="10"/>
  <c r="C33" i="10" s="1"/>
  <c r="G18" i="10"/>
  <c r="G17" i="10"/>
  <c r="G7" i="4" s="1"/>
  <c r="G15" i="10"/>
  <c r="G7" i="2" s="1"/>
  <c r="M10" i="10"/>
  <c r="M12" i="10" s="1"/>
  <c r="L10" i="10"/>
  <c r="L12" i="10" s="1"/>
  <c r="K10" i="10"/>
  <c r="K12" i="10" s="1"/>
  <c r="J10" i="10"/>
  <c r="J12" i="10" s="1"/>
  <c r="H10" i="10"/>
  <c r="H12" i="10" s="1"/>
  <c r="G10" i="10"/>
  <c r="G12" i="10" s="1"/>
  <c r="F10" i="10"/>
  <c r="F12" i="10" s="1"/>
  <c r="E10" i="10"/>
  <c r="E12" i="10" s="1"/>
  <c r="D10" i="10"/>
  <c r="D12" i="10" s="1"/>
  <c r="C10" i="10"/>
  <c r="C12" i="10" s="1"/>
  <c r="I7" i="10"/>
  <c r="I10" i="10" s="1"/>
  <c r="I12" i="10" s="1"/>
  <c r="H2" i="10"/>
  <c r="I2" i="10" s="1"/>
  <c r="J2" i="10" s="1"/>
  <c r="K2" i="10" s="1"/>
  <c r="L2" i="10" s="1"/>
  <c r="M2" i="10" s="1"/>
  <c r="F2" i="10"/>
  <c r="F39" i="10" s="1"/>
  <c r="F31" i="4" s="1"/>
  <c r="G42" i="9"/>
  <c r="G4" i="4" s="1"/>
  <c r="G41" i="9"/>
  <c r="G4" i="3" s="1"/>
  <c r="G40" i="9"/>
  <c r="G4" i="2" s="1"/>
  <c r="G39" i="9"/>
  <c r="K33" i="9"/>
  <c r="H2" i="9"/>
  <c r="I2" i="9" s="1"/>
  <c r="F2" i="9"/>
  <c r="F42" i="9" s="1"/>
  <c r="F4" i="4" s="1"/>
  <c r="E2" i="9" l="1"/>
  <c r="E42" i="9" s="1"/>
  <c r="E4" i="4" s="1"/>
  <c r="G38" i="9"/>
  <c r="G44" i="9" s="1"/>
  <c r="M15" i="10"/>
  <c r="M7" i="2" s="1"/>
  <c r="M17" i="10"/>
  <c r="M7" i="4" s="1"/>
  <c r="E2" i="10"/>
  <c r="E38" i="10" s="1"/>
  <c r="E30" i="4" s="1"/>
  <c r="F15" i="10"/>
  <c r="F7" i="2" s="1"/>
  <c r="M18" i="10"/>
  <c r="M8" i="4" s="1"/>
  <c r="M36" i="10"/>
  <c r="M30" i="2" s="1"/>
  <c r="M38" i="10"/>
  <c r="M30" i="4" s="1"/>
  <c r="M39" i="10"/>
  <c r="M31" i="4" s="1"/>
  <c r="F17" i="10"/>
  <c r="F7" i="4" s="1"/>
  <c r="F18" i="10"/>
  <c r="F8" i="4" s="1"/>
  <c r="F36" i="10"/>
  <c r="F30" i="2" s="1"/>
  <c r="F38" i="10"/>
  <c r="F30" i="4" s="1"/>
  <c r="H39" i="9"/>
  <c r="H52" i="9" s="1"/>
  <c r="H41" i="9"/>
  <c r="H4" i="3" s="1"/>
  <c r="H38" i="9"/>
  <c r="H51" i="9" s="1"/>
  <c r="H40" i="9"/>
  <c r="H4" i="2" s="1"/>
  <c r="H42" i="9"/>
  <c r="H4" i="4" s="1"/>
  <c r="I38" i="9"/>
  <c r="I51" i="9" s="1"/>
  <c r="I42" i="9"/>
  <c r="I4" i="4" s="1"/>
  <c r="I39" i="9"/>
  <c r="I52" i="9" s="1"/>
  <c r="I40" i="9"/>
  <c r="I4" i="2" s="1"/>
  <c r="J2" i="9"/>
  <c r="I41" i="9"/>
  <c r="I4" i="3" s="1"/>
  <c r="H15" i="10"/>
  <c r="H7" i="2" s="1"/>
  <c r="H17" i="10"/>
  <c r="H7" i="4" s="1"/>
  <c r="H18" i="10"/>
  <c r="H8" i="4" s="1"/>
  <c r="H36" i="10"/>
  <c r="H30" i="2" s="1"/>
  <c r="H38" i="10"/>
  <c r="H39" i="10"/>
  <c r="H31" i="4" s="1"/>
  <c r="M27" i="9"/>
  <c r="M33" i="9" s="1"/>
  <c r="G20" i="10"/>
  <c r="G22" i="10" s="1"/>
  <c r="G8" i="4"/>
  <c r="I15" i="10"/>
  <c r="I7" i="2" s="1"/>
  <c r="I17" i="10"/>
  <c r="I18" i="10"/>
  <c r="I8" i="4" s="1"/>
  <c r="I36" i="10"/>
  <c r="I30" i="2" s="1"/>
  <c r="I38" i="10"/>
  <c r="I30" i="4" s="1"/>
  <c r="I39" i="10"/>
  <c r="I31" i="4" s="1"/>
  <c r="J15" i="10"/>
  <c r="J7" i="2" s="1"/>
  <c r="J17" i="10"/>
  <c r="J18" i="10"/>
  <c r="J8" i="4" s="1"/>
  <c r="J36" i="10"/>
  <c r="J30" i="2" s="1"/>
  <c r="J38" i="10"/>
  <c r="J39" i="10"/>
  <c r="J31" i="4" s="1"/>
  <c r="F38" i="9"/>
  <c r="F39" i="9"/>
  <c r="F40" i="9"/>
  <c r="F4" i="2" s="1"/>
  <c r="F41" i="9"/>
  <c r="F4" i="3" s="1"/>
  <c r="K15" i="10"/>
  <c r="K7" i="2" s="1"/>
  <c r="K17" i="10"/>
  <c r="K18" i="10"/>
  <c r="K8" i="4" s="1"/>
  <c r="K36" i="10"/>
  <c r="K30" i="2" s="1"/>
  <c r="K38" i="10"/>
  <c r="K39" i="10"/>
  <c r="K31" i="4" s="1"/>
  <c r="L15" i="10"/>
  <c r="L7" i="2" s="1"/>
  <c r="L17" i="10"/>
  <c r="L18" i="10"/>
  <c r="L8" i="4" s="1"/>
  <c r="L36" i="10"/>
  <c r="L30" i="2" s="1"/>
  <c r="L38" i="10"/>
  <c r="L30" i="4" s="1"/>
  <c r="L39" i="10"/>
  <c r="L31" i="4" s="1"/>
  <c r="G41" i="10"/>
  <c r="G43" i="10" s="1"/>
  <c r="G30" i="4"/>
  <c r="H30" i="4"/>
  <c r="M23" i="9"/>
  <c r="K41" i="10" l="1"/>
  <c r="F20" i="10"/>
  <c r="F22" i="10" s="1"/>
  <c r="E41" i="9"/>
  <c r="E4" i="3" s="1"/>
  <c r="M20" i="10"/>
  <c r="M22" i="10" s="1"/>
  <c r="I41" i="10"/>
  <c r="I43" i="10" s="1"/>
  <c r="D2" i="9"/>
  <c r="D42" i="9" s="1"/>
  <c r="D4" i="4" s="1"/>
  <c r="E40" i="9"/>
  <c r="E4" i="2" s="1"/>
  <c r="E39" i="9"/>
  <c r="E38" i="9"/>
  <c r="F41" i="10"/>
  <c r="F43" i="10" s="1"/>
  <c r="K43" i="10"/>
  <c r="D41" i="9"/>
  <c r="D4" i="3" s="1"/>
  <c r="M41" i="10"/>
  <c r="M43" i="10" s="1"/>
  <c r="H41" i="10"/>
  <c r="H43" i="10" s="1"/>
  <c r="J41" i="10"/>
  <c r="J43" i="10" s="1"/>
  <c r="E39" i="10"/>
  <c r="E31" i="4" s="1"/>
  <c r="E18" i="10"/>
  <c r="E8" i="4" s="1"/>
  <c r="E17" i="10"/>
  <c r="E15" i="10"/>
  <c r="E7" i="2" s="1"/>
  <c r="D2" i="10"/>
  <c r="H20" i="10"/>
  <c r="H22" i="10" s="1"/>
  <c r="J30" i="4"/>
  <c r="E36" i="10"/>
  <c r="E30" i="2" s="1"/>
  <c r="D39" i="9"/>
  <c r="H44" i="9"/>
  <c r="L41" i="10"/>
  <c r="L43" i="10" s="1"/>
  <c r="K7" i="4"/>
  <c r="K20" i="10"/>
  <c r="K22" i="10" s="1"/>
  <c r="I7" i="4"/>
  <c r="I20" i="10"/>
  <c r="I22" i="10" s="1"/>
  <c r="K30" i="4"/>
  <c r="J42" i="9"/>
  <c r="J4" i="4" s="1"/>
  <c r="J39" i="9"/>
  <c r="J52" i="9" s="1"/>
  <c r="K2" i="9"/>
  <c r="J40" i="9"/>
  <c r="J4" i="2" s="1"/>
  <c r="J41" i="9"/>
  <c r="J4" i="3" s="1"/>
  <c r="J38" i="9"/>
  <c r="J51" i="9" s="1"/>
  <c r="J7" i="4"/>
  <c r="J20" i="10"/>
  <c r="J22" i="10" s="1"/>
  <c r="L20" i="10"/>
  <c r="L22" i="10" s="1"/>
  <c r="L7" i="4"/>
  <c r="F44" i="9"/>
  <c r="I44" i="9"/>
  <c r="D40" i="9" l="1"/>
  <c r="D4" i="2" s="1"/>
  <c r="E44" i="9"/>
  <c r="C2" i="9"/>
  <c r="D38" i="9"/>
  <c r="D44" i="9" s="1"/>
  <c r="D39" i="10"/>
  <c r="D31" i="4" s="1"/>
  <c r="C2" i="10"/>
  <c r="D15" i="10"/>
  <c r="D7" i="2" s="1"/>
  <c r="D18" i="10"/>
  <c r="D8" i="4" s="1"/>
  <c r="D38" i="10"/>
  <c r="D17" i="10"/>
  <c r="D36" i="10"/>
  <c r="D30" i="2" s="1"/>
  <c r="E7" i="4"/>
  <c r="E20" i="10"/>
  <c r="E22" i="10" s="1"/>
  <c r="E41" i="10"/>
  <c r="E43" i="10" s="1"/>
  <c r="L2" i="9"/>
  <c r="K42" i="9"/>
  <c r="K4" i="4" s="1"/>
  <c r="K41" i="9"/>
  <c r="K4" i="3" s="1"/>
  <c r="K40" i="9"/>
  <c r="K4" i="2" s="1"/>
  <c r="K39" i="9"/>
  <c r="K52" i="9" s="1"/>
  <c r="K38" i="9"/>
  <c r="K51" i="9" s="1"/>
  <c r="J44" i="9"/>
  <c r="J46" i="9" s="1"/>
  <c r="C41" i="9" l="1"/>
  <c r="C4" i="3" s="1"/>
  <c r="C42" i="9"/>
  <c r="C4" i="4" s="1"/>
  <c r="C39" i="9"/>
  <c r="C40" i="9"/>
  <c r="C4" i="2" s="1"/>
  <c r="C38" i="9"/>
  <c r="D20" i="10"/>
  <c r="D22" i="10" s="1"/>
  <c r="D7" i="4"/>
  <c r="C38" i="10"/>
  <c r="C15" i="10"/>
  <c r="C7" i="2" s="1"/>
  <c r="C36" i="10"/>
  <c r="C30" i="2" s="1"/>
  <c r="C18" i="10"/>
  <c r="C8" i="4" s="1"/>
  <c r="C39" i="10"/>
  <c r="C31" i="4" s="1"/>
  <c r="C17" i="10"/>
  <c r="D30" i="4"/>
  <c r="D41" i="10"/>
  <c r="D43" i="10" s="1"/>
  <c r="K44" i="9"/>
  <c r="K46" i="9" s="1"/>
  <c r="M2" i="9"/>
  <c r="L42" i="9"/>
  <c r="L4" i="4" s="1"/>
  <c r="L41" i="9"/>
  <c r="L4" i="3" s="1"/>
  <c r="L40" i="9"/>
  <c r="L4" i="2" s="1"/>
  <c r="L39" i="9"/>
  <c r="L52" i="9" s="1"/>
  <c r="L38" i="9"/>
  <c r="L51" i="9" s="1"/>
  <c r="C44" i="9" l="1"/>
  <c r="C7" i="4"/>
  <c r="C20" i="10"/>
  <c r="C22" i="10" s="1"/>
  <c r="C30" i="4"/>
  <c r="C41" i="10"/>
  <c r="C43" i="10" s="1"/>
  <c r="L44" i="9"/>
  <c r="L46" i="9" s="1"/>
  <c r="M42" i="9"/>
  <c r="M4" i="4" s="1"/>
  <c r="M41" i="9"/>
  <c r="M4" i="3" s="1"/>
  <c r="M40" i="9"/>
  <c r="M4" i="2" s="1"/>
  <c r="M39" i="9"/>
  <c r="M52" i="9" s="1"/>
  <c r="M38" i="9"/>
  <c r="M51" i="9" s="1"/>
  <c r="M44" i="9" l="1"/>
  <c r="M46" i="9" s="1"/>
  <c r="B30" i="3" l="1"/>
  <c r="I10" i="2"/>
  <c r="J10" i="2"/>
  <c r="K10" i="2"/>
  <c r="L10" i="2"/>
  <c r="H62" i="9" l="1"/>
  <c r="I62" i="9" l="1"/>
  <c r="J62" i="9" l="1"/>
  <c r="K62" i="9" l="1"/>
  <c r="B31" i="4"/>
  <c r="B30" i="4"/>
  <c r="L62" i="9" l="1"/>
  <c r="M62" i="9" l="1"/>
  <c r="H2" i="3" l="1"/>
  <c r="H2" i="4"/>
  <c r="M33" i="4" l="1"/>
  <c r="L33" i="4"/>
  <c r="K33" i="4"/>
  <c r="J33" i="4"/>
  <c r="H33" i="4"/>
  <c r="G33" i="4"/>
  <c r="F33" i="4"/>
  <c r="E33" i="4"/>
  <c r="D33" i="4"/>
  <c r="C33" i="4"/>
  <c r="I33" i="4"/>
  <c r="M10" i="4"/>
  <c r="L10" i="4"/>
  <c r="K10" i="4"/>
  <c r="J10" i="4"/>
  <c r="H10" i="4"/>
  <c r="H12" i="4" s="1"/>
  <c r="G10" i="4"/>
  <c r="G12" i="4" s="1"/>
  <c r="F10" i="4"/>
  <c r="E10" i="4"/>
  <c r="D10" i="4"/>
  <c r="C10" i="4"/>
  <c r="I10" i="4"/>
  <c r="F2" i="4"/>
  <c r="E2" i="4" l="1"/>
  <c r="F12" i="4" l="1"/>
  <c r="D2" i="4"/>
  <c r="E12" i="4" l="1"/>
  <c r="C2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D12" i="4" l="1"/>
  <c r="H2" i="2"/>
  <c r="B30" i="2"/>
  <c r="M33" i="3"/>
  <c r="L33" i="3"/>
  <c r="K33" i="3"/>
  <c r="J33" i="3"/>
  <c r="H33" i="3"/>
  <c r="G33" i="3"/>
  <c r="F33" i="3"/>
  <c r="E33" i="3"/>
  <c r="D33" i="3"/>
  <c r="C33" i="3"/>
  <c r="I33" i="3"/>
  <c r="M10" i="3"/>
  <c r="L10" i="3"/>
  <c r="K10" i="3"/>
  <c r="J10" i="3"/>
  <c r="H10" i="3"/>
  <c r="H12" i="3" s="1"/>
  <c r="G10" i="3"/>
  <c r="G12" i="3" s="1"/>
  <c r="F10" i="3"/>
  <c r="E10" i="3"/>
  <c r="D10" i="3"/>
  <c r="C10" i="3"/>
  <c r="I10" i="3"/>
  <c r="F2" i="3"/>
  <c r="M33" i="2"/>
  <c r="L33" i="2"/>
  <c r="K33" i="2"/>
  <c r="J33" i="2"/>
  <c r="H33" i="2"/>
  <c r="G33" i="2"/>
  <c r="F33" i="2"/>
  <c r="E33" i="2"/>
  <c r="D33" i="2"/>
  <c r="C33" i="2"/>
  <c r="I33" i="2"/>
  <c r="M10" i="2"/>
  <c r="H10" i="2"/>
  <c r="G10" i="2"/>
  <c r="G12" i="2" s="1"/>
  <c r="F10" i="2"/>
  <c r="E10" i="2"/>
  <c r="D10" i="2"/>
  <c r="C10" i="2"/>
  <c r="F2" i="2"/>
  <c r="I2" i="2" l="1"/>
  <c r="E2" i="3"/>
  <c r="F12" i="3"/>
  <c r="E2" i="2"/>
  <c r="F12" i="2"/>
  <c r="C12" i="4"/>
  <c r="E27" i="4" l="1"/>
  <c r="F27" i="4"/>
  <c r="G27" i="4"/>
  <c r="D27" i="4"/>
  <c r="C27" i="4"/>
  <c r="H12" i="2"/>
  <c r="D2" i="2"/>
  <c r="E12" i="2"/>
  <c r="D2" i="3"/>
  <c r="E12" i="3"/>
  <c r="J2" i="2"/>
  <c r="I12" i="2"/>
  <c r="G35" i="4"/>
  <c r="H27" i="4" l="1"/>
  <c r="H35" i="4" s="1"/>
  <c r="H55" i="9" s="1"/>
  <c r="H65" i="9" s="1"/>
  <c r="K2" i="2"/>
  <c r="J12" i="2"/>
  <c r="C2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D12" i="3"/>
  <c r="C2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D12" i="2"/>
  <c r="F35" i="4"/>
  <c r="C12" i="2" l="1"/>
  <c r="C12" i="3"/>
  <c r="L2" i="2"/>
  <c r="K12" i="2"/>
  <c r="E35" i="4"/>
  <c r="I2" i="4"/>
  <c r="C27" i="3" l="1"/>
  <c r="D27" i="3"/>
  <c r="E27" i="3"/>
  <c r="E35" i="3" s="1"/>
  <c r="C27" i="2"/>
  <c r="C35" i="2" s="1"/>
  <c r="D27" i="2"/>
  <c r="D35" i="2" s="1"/>
  <c r="M2" i="2"/>
  <c r="L12" i="2"/>
  <c r="D35" i="3"/>
  <c r="D35" i="4"/>
  <c r="J2" i="4"/>
  <c r="E27" i="2" l="1"/>
  <c r="E35" i="2" s="1"/>
  <c r="C35" i="3"/>
  <c r="M12" i="2"/>
  <c r="C35" i="4"/>
  <c r="I12" i="4"/>
  <c r="K2" i="4"/>
  <c r="I27" i="4" l="1"/>
  <c r="F27" i="3"/>
  <c r="F35" i="3" s="1"/>
  <c r="L2" i="4"/>
  <c r="I35" i="4"/>
  <c r="I55" i="9" s="1"/>
  <c r="I65" i="9" s="1"/>
  <c r="J12" i="4"/>
  <c r="F27" i="2" l="1"/>
  <c r="F35" i="2" s="1"/>
  <c r="J27" i="4"/>
  <c r="J35" i="4" s="1"/>
  <c r="J55" i="9" s="1"/>
  <c r="J65" i="9" s="1"/>
  <c r="G27" i="3"/>
  <c r="G35" i="3" s="1"/>
  <c r="G27" i="2"/>
  <c r="I27" i="2"/>
  <c r="I35" i="2" s="1"/>
  <c r="I53" i="9" s="1"/>
  <c r="I63" i="9" s="1"/>
  <c r="I2" i="3"/>
  <c r="K12" i="4"/>
  <c r="M2" i="4"/>
  <c r="K27" i="4" l="1"/>
  <c r="K35" i="4" s="1"/>
  <c r="K55" i="9" s="1"/>
  <c r="K65" i="9" s="1"/>
  <c r="H27" i="2"/>
  <c r="H35" i="2" s="1"/>
  <c r="H53" i="9" s="1"/>
  <c r="H63" i="9" s="1"/>
  <c r="H27" i="3"/>
  <c r="J27" i="2"/>
  <c r="J35" i="2" s="1"/>
  <c r="J53" i="9" s="1"/>
  <c r="J63" i="9" s="1"/>
  <c r="G35" i="2"/>
  <c r="H61" i="9"/>
  <c r="J2" i="3"/>
  <c r="I12" i="3"/>
  <c r="L12" i="4"/>
  <c r="L27" i="4" l="1"/>
  <c r="L35" i="4" s="1"/>
  <c r="L55" i="9" s="1"/>
  <c r="L65" i="9" s="1"/>
  <c r="H35" i="3"/>
  <c r="H54" i="9" s="1"/>
  <c r="I27" i="3"/>
  <c r="I35" i="3" s="1"/>
  <c r="I54" i="9" s="1"/>
  <c r="I64" i="9" s="1"/>
  <c r="K2" i="3"/>
  <c r="J12" i="3"/>
  <c r="M12" i="4"/>
  <c r="M27" i="4" l="1"/>
  <c r="J27" i="3"/>
  <c r="J35" i="3" s="1"/>
  <c r="J54" i="9" s="1"/>
  <c r="J64" i="9" s="1"/>
  <c r="H64" i="9"/>
  <c r="H67" i="9" s="1"/>
  <c r="H57" i="9"/>
  <c r="K27" i="2"/>
  <c r="K35" i="2" s="1"/>
  <c r="K53" i="9" s="1"/>
  <c r="K63" i="9" s="1"/>
  <c r="L27" i="2"/>
  <c r="L35" i="2" s="1"/>
  <c r="L53" i="9" s="1"/>
  <c r="L63" i="9" s="1"/>
  <c r="L2" i="3"/>
  <c r="K12" i="3"/>
  <c r="M35" i="4"/>
  <c r="M55" i="9" s="1"/>
  <c r="M65" i="9" s="1"/>
  <c r="M27" i="2" l="1"/>
  <c r="M35" i="2" s="1"/>
  <c r="M53" i="9" s="1"/>
  <c r="M63" i="9" s="1"/>
  <c r="H70" i="9"/>
  <c r="H72" i="9"/>
  <c r="K27" i="3"/>
  <c r="K35" i="3" s="1"/>
  <c r="K54" i="9" s="1"/>
  <c r="K64" i="9" s="1"/>
  <c r="I57" i="9"/>
  <c r="I61" i="9"/>
  <c r="I67" i="9" s="1"/>
  <c r="M2" i="3"/>
  <c r="L12" i="3"/>
  <c r="I70" i="9" l="1"/>
  <c r="I72" i="9"/>
  <c r="L27" i="3"/>
  <c r="L35" i="3" s="1"/>
  <c r="L54" i="9" s="1"/>
  <c r="L64" i="9" s="1"/>
  <c r="J57" i="9"/>
  <c r="J61" i="9"/>
  <c r="J67" i="9" s="1"/>
  <c r="M12" i="3"/>
  <c r="J70" i="9" l="1"/>
  <c r="J72" i="9"/>
  <c r="M27" i="3"/>
  <c r="M35" i="3" s="1"/>
  <c r="M54" i="9" s="1"/>
  <c r="M64" i="9" s="1"/>
  <c r="K57" i="9"/>
  <c r="K61" i="9"/>
  <c r="K67" i="9" s="1"/>
  <c r="K70" i="9" l="1"/>
  <c r="K72" i="9"/>
  <c r="L57" i="9"/>
  <c r="L61" i="9"/>
  <c r="L67" i="9" s="1"/>
  <c r="L70" i="9" l="1"/>
  <c r="L72" i="9"/>
  <c r="M57" i="9"/>
  <c r="M61" i="9"/>
  <c r="M67" i="9" s="1"/>
  <c r="M70" i="9" l="1"/>
  <c r="M72" i="9"/>
</calcChain>
</file>

<file path=xl/sharedStrings.xml><?xml version="1.0" encoding="utf-8"?>
<sst xmlns="http://schemas.openxmlformats.org/spreadsheetml/2006/main" count="171" uniqueCount="76">
  <si>
    <t>Water Master Plan</t>
  </si>
  <si>
    <t>Less Budget for Detailed Cashflow Items</t>
  </si>
  <si>
    <t>Subtotal</t>
  </si>
  <si>
    <t>Remaining CIP Budget</t>
  </si>
  <si>
    <t>Estimated Spending of Balance</t>
  </si>
  <si>
    <t>Plus Detailed Cashflow Items</t>
  </si>
  <si>
    <t>Total Projected Spending</t>
  </si>
  <si>
    <t>PENNVEST - Torresdale PS Rehab</t>
  </si>
  <si>
    <t>Continue shifting staff to O&amp;M</t>
  </si>
  <si>
    <t>Source:  2019.10.21_WMP_Financial Model Inputs.xls</t>
  </si>
  <si>
    <t>CIP Inflation</t>
  </si>
  <si>
    <t>Base Year</t>
  </si>
  <si>
    <t>Revised Total - Inflated</t>
  </si>
  <si>
    <t>Engineering Admin</t>
  </si>
  <si>
    <t>Class 100</t>
  </si>
  <si>
    <t>Vehicles</t>
  </si>
  <si>
    <t>Water Conveyance</t>
  </si>
  <si>
    <t>Sewer Collection</t>
  </si>
  <si>
    <t>Facilities</t>
  </si>
  <si>
    <t>Total</t>
  </si>
  <si>
    <t>Water Master Plan Budget</t>
  </si>
  <si>
    <t>Torresdale PS Rehab (PENNVEST)</t>
  </si>
  <si>
    <t>Facilities Excluding Torresdale PS Rehab</t>
  </si>
  <si>
    <t>Water Master Plan Budget - Adjusted for Inflation</t>
  </si>
  <si>
    <t>Water Master Plan Cashflow</t>
  </si>
  <si>
    <t>Water Master Plan Cashflow - Adjusted for Inflation</t>
  </si>
  <si>
    <t>Less Budget for Detailed Cashflow Items (Inflated)</t>
  </si>
  <si>
    <t>Remaining CIP Budget (Inflated)</t>
  </si>
  <si>
    <t>Plus Detailed Cashflow Items (Inflated)</t>
  </si>
  <si>
    <t>Less Budget for Detailed Cashflow Items - Inflated</t>
  </si>
  <si>
    <t>Remaining CIP Budget - Inflated</t>
  </si>
  <si>
    <t>Plus Detailed Cashflow Items - Inflated</t>
  </si>
  <si>
    <t>PWD CIP Budget - Adjustments</t>
  </si>
  <si>
    <t>Class 100 - Shift Staff to O&amp;M</t>
  </si>
  <si>
    <t>Water Master Plan (Facilities excluding Torresdale PS Renab)</t>
  </si>
  <si>
    <t>PWD CIP Budget w/Adjustment</t>
  </si>
  <si>
    <t>PWD CIP Budget w/Adjustment and Inflation</t>
  </si>
  <si>
    <t xml:space="preserve">Reflects removal of contigency </t>
  </si>
  <si>
    <t>"Spend Factor"</t>
  </si>
  <si>
    <t xml:space="preserve">Total Inflation Adjustment </t>
  </si>
  <si>
    <t>PWD CIP Budget w/Adjustment, Inflation and Project Durations</t>
  </si>
  <si>
    <t xml:space="preserve">Total Cashflow Adjustment </t>
  </si>
  <si>
    <t>PWD CIP Budget w/Adjustment, Inflation, Project Durations and Application of Spend Factor</t>
  </si>
  <si>
    <t>File Name</t>
  </si>
  <si>
    <t>Description</t>
  </si>
  <si>
    <t xml:space="preserve">Last Updated </t>
  </si>
  <si>
    <t>Development of Capital Improvement Program -  Annual Expenditure Estimates</t>
  </si>
  <si>
    <t>PWD CIP Budget - Original</t>
  </si>
  <si>
    <t xml:space="preserve">Source: </t>
  </si>
  <si>
    <t xml:space="preserve">Project Duration </t>
  </si>
  <si>
    <t>Engineering &amp; Admin</t>
  </si>
  <si>
    <t>N/A</t>
  </si>
  <si>
    <t>Applied for projects without detailed cashflow estimates</t>
  </si>
  <si>
    <t>Projection Assumptions</t>
  </si>
  <si>
    <t>Duration Assumptions</t>
  </si>
  <si>
    <t>Duration Adjustment</t>
  </si>
  <si>
    <t>CHECK versus FINPLAN TABLE</t>
  </si>
  <si>
    <t>FINPLAN TABLE</t>
  </si>
  <si>
    <t>No Duration Adjustment</t>
  </si>
  <si>
    <t>See Conveyance System Tab</t>
  </si>
  <si>
    <t>See Sewer Collection Tab</t>
  </si>
  <si>
    <t xml:space="preserve">See Facilities Tab </t>
  </si>
  <si>
    <t xml:space="preserve">Adjusted for Inflation </t>
  </si>
  <si>
    <t>Adjusted for shift in funding source for staff</t>
  </si>
  <si>
    <t xml:space="preserve">Application of 90% spend factor for removal of contigency </t>
  </si>
  <si>
    <t>Year(s)</t>
  </si>
  <si>
    <t xml:space="preserve">Includes Storm Flood Relief, Reconstruction of Sewers and Green Infrastructure </t>
  </si>
  <si>
    <t xml:space="preserve">Includes Distribution System Rehabilitation and Large Meter Replacement </t>
  </si>
  <si>
    <t xml:space="preserve">Includes Engineering and Administration </t>
  </si>
  <si>
    <t xml:space="preserve">Includes Vehicles </t>
  </si>
  <si>
    <t>Infludes Plant Improvements</t>
  </si>
  <si>
    <t xml:space="preserve">Total line input into FINANCIAL PLAN CIP SCENARIO </t>
  </si>
  <si>
    <t>Capital Program FY 2021-2026 FINAL (6 Years) (2019-11-13)</t>
  </si>
  <si>
    <t xml:space="preserve">©Black &amp; Veatch Corporation 2019. </t>
  </si>
  <si>
    <t xml:space="preserve">Developed By </t>
  </si>
  <si>
    <t>Black &amp; Veatch Management Consulting,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</si>
</sst>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&quot;FY &quot;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FF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3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theme="4"/>
      <name val="Calibri"/>
      <family val="2"/>
      <scheme val="minor"/>
    </font>
    <font>
      <sz val="11"/>
      <color theme="4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43" fontId="2" fillId="0" borderId="0" xfId="0" applyNumberFormat="1" applyFont="1"/>
    <xf numFmtId="166" fontId="2" fillId="0" borderId="0" xfId="0" applyNumberFormat="1" applyFont="1"/>
    <xf numFmtId="165" fontId="2" fillId="0" borderId="0" xfId="2" applyNumberFormat="1" applyFont="1"/>
    <xf numFmtId="164" fontId="2" fillId="0" borderId="0" xfId="1" applyNumberFormat="1" applyFont="1"/>
    <xf numFmtId="0" fontId="4" fillId="3" borderId="0" xfId="0" applyFont="1" applyFill="1"/>
    <xf numFmtId="0" fontId="4" fillId="0" borderId="0" xfId="0" applyFont="1" applyAlignment="1">
      <alignment horizontal="left" indent="1"/>
    </xf>
    <xf numFmtId="0" fontId="4" fillId="4" borderId="0" xfId="0" applyFont="1" applyFill="1" applyAlignment="1">
      <alignment horizontal="left" indent="1"/>
    </xf>
    <xf numFmtId="164" fontId="2" fillId="4" borderId="0" xfId="0" applyNumberFormat="1" applyFont="1" applyFill="1"/>
    <xf numFmtId="0" fontId="4" fillId="4" borderId="0" xfId="0" applyFont="1" applyFill="1"/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/>
    <xf numFmtId="0" fontId="2" fillId="0" borderId="0" xfId="0" applyFont="1" applyFill="1" applyAlignment="1">
      <alignment horizontal="left" indent="1"/>
    </xf>
    <xf numFmtId="165" fontId="2" fillId="0" borderId="0" xfId="2" applyNumberFormat="1" applyFont="1" applyFill="1"/>
    <xf numFmtId="164" fontId="5" fillId="0" borderId="0" xfId="1" applyNumberFormat="1" applyFont="1" applyFill="1"/>
    <xf numFmtId="0" fontId="6" fillId="0" borderId="0" xfId="0" applyFont="1" applyAlignment="1">
      <alignment horizontal="left" indent="1"/>
    </xf>
    <xf numFmtId="0" fontId="4" fillId="5" borderId="0" xfId="0" applyFont="1" applyFill="1"/>
    <xf numFmtId="164" fontId="2" fillId="5" borderId="0" xfId="0" applyNumberFormat="1" applyFont="1" applyFill="1"/>
    <xf numFmtId="0" fontId="0" fillId="0" borderId="1" xfId="0" applyBorder="1"/>
    <xf numFmtId="14" fontId="7" fillId="2" borderId="0" xfId="0" applyNumberFormat="1" applyFont="1" applyFill="1"/>
    <xf numFmtId="0" fontId="0" fillId="0" borderId="0" xfId="0" applyAlignment="1">
      <alignment horizontal="left" indent="1"/>
    </xf>
    <xf numFmtId="165" fontId="3" fillId="2" borderId="2" xfId="3" applyNumberFormat="1" applyFont="1" applyFill="1" applyBorder="1"/>
    <xf numFmtId="9" fontId="3" fillId="2" borderId="2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6" borderId="0" xfId="0" applyFont="1" applyFill="1"/>
    <xf numFmtId="0" fontId="4" fillId="6" borderId="0" xfId="0" applyFont="1" applyFill="1"/>
    <xf numFmtId="0" fontId="4" fillId="6" borderId="0" xfId="0" applyFont="1" applyFill="1" applyAlignment="1">
      <alignment horizontal="right"/>
    </xf>
    <xf numFmtId="164" fontId="2" fillId="6" borderId="0" xfId="0" applyNumberFormat="1" applyFont="1" applyFill="1"/>
    <xf numFmtId="164" fontId="6" fillId="6" borderId="0" xfId="0" applyNumberFormat="1" applyFont="1" applyFill="1" applyAlignment="1">
      <alignment horizontal="left" indent="2"/>
    </xf>
    <xf numFmtId="164" fontId="8" fillId="2" borderId="0" xfId="1" applyNumberFormat="1" applyFont="1" applyFill="1"/>
    <xf numFmtId="164" fontId="5" fillId="2" borderId="0" xfId="1" applyNumberFormat="1" applyFont="1" applyFill="1"/>
    <xf numFmtId="0" fontId="6" fillId="0" borderId="0" xfId="0" applyFont="1" applyAlignment="1">
      <alignment horizontal="right" indent="1"/>
    </xf>
    <xf numFmtId="167" fontId="4" fillId="3" borderId="0" xfId="0" applyNumberFormat="1" applyFont="1" applyFill="1"/>
    <xf numFmtId="167" fontId="4" fillId="0" borderId="0" xfId="0" applyNumberFormat="1" applyFont="1"/>
    <xf numFmtId="0" fontId="2" fillId="7" borderId="0" xfId="0" applyFont="1" applyFill="1"/>
  </cellXfs>
  <cellStyles count="4">
    <cellStyle name="Comma" xfId="1" builtinId="3"/>
    <cellStyle name="Normal" xfId="0" builtinId="0"/>
    <cellStyle name="Normal 10" xfId="3" xr:uid="{5BF3D6D3-43EB-49F3-ABBA-F5E58B15721A}"/>
    <cellStyle name="Per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gt, Dave A." id="{5B34DDCD-9DEC-4A9A-B2B2-FD9F98A5A451}" userId="S::JagtDA@bv.com::89ec7432-0f52-4b03-bc65-22ba3f8867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01FEA-42DF-4B59-9DED-2637E28181CF}">
  <dimension ref="B2:C12"/>
  <sheetViews>
    <sheetView tabSelected="1" workbookViewId="0">
      <selection activeCell="H15" sqref="H15"/>
    </sheetView>
  </sheetViews>
  <sheetFormatPr defaultRowHeight="15" x14ac:dyDescent="0.25"/>
  <cols>
    <col min="2" max="2" width="16.140625" customWidth="1"/>
    <col min="3" max="3" width="17" customWidth="1"/>
  </cols>
  <sheetData>
    <row r="2" spans="2:3" ht="15.75" thickBot="1" x14ac:dyDescent="0.3"/>
    <row r="3" spans="2:3" ht="15.75" thickBot="1" x14ac:dyDescent="0.3">
      <c r="B3" s="25" t="s">
        <v>43</v>
      </c>
      <c r="C3" s="27" t="str">
        <f ca="1">MID(CELL("filename",A1),FIND("[",CELL("filename",A1))+1,FIND("]",CELL("filename",A1))-FIND("[",CELL("filename",A1))-1)</f>
        <v>CIP Cashflow Estimate 20191204 V2.xlsx</v>
      </c>
    </row>
    <row r="4" spans="2:3" ht="15.75" thickBot="1" x14ac:dyDescent="0.3">
      <c r="C4" s="27"/>
    </row>
    <row r="5" spans="2:3" ht="15.75" thickBot="1" x14ac:dyDescent="0.3">
      <c r="B5" s="25" t="s">
        <v>44</v>
      </c>
      <c r="C5" s="27" t="s">
        <v>46</v>
      </c>
    </row>
    <row r="6" spans="2:3" ht="15.75" thickBot="1" x14ac:dyDescent="0.3"/>
    <row r="7" spans="2:3" ht="15.75" thickBot="1" x14ac:dyDescent="0.3">
      <c r="B7" s="25" t="s">
        <v>45</v>
      </c>
      <c r="C7" s="26">
        <v>43803</v>
      </c>
    </row>
    <row r="8" spans="2:3" ht="15.75" thickBot="1" x14ac:dyDescent="0.3"/>
    <row r="9" spans="2:3" ht="15.75" thickBot="1" x14ac:dyDescent="0.3">
      <c r="B9" s="25" t="s">
        <v>74</v>
      </c>
      <c r="C9" s="27" t="s">
        <v>75</v>
      </c>
    </row>
    <row r="12" spans="2:3" x14ac:dyDescent="0.25">
      <c r="B12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7F99-FB4F-4F56-85B9-F3489300339E}">
  <sheetPr>
    <tabColor theme="0" tint="-0.499984740745262"/>
  </sheetPr>
  <dimension ref="B2:I18"/>
  <sheetViews>
    <sheetView workbookViewId="0">
      <selection activeCell="B22" sqref="B22"/>
    </sheetView>
  </sheetViews>
  <sheetFormatPr defaultColWidth="9.140625" defaultRowHeight="15" x14ac:dyDescent="0.25"/>
  <cols>
    <col min="1" max="1" width="9.140625" style="1"/>
    <col min="2" max="2" width="27.140625" style="1" customWidth="1"/>
    <col min="3" max="16384" width="9.140625" style="1"/>
  </cols>
  <sheetData>
    <row r="2" spans="2:9" x14ac:dyDescent="0.25">
      <c r="B2" s="34" t="s">
        <v>53</v>
      </c>
      <c r="C2" s="33"/>
      <c r="D2" s="33"/>
      <c r="E2" s="33"/>
      <c r="F2" s="33"/>
      <c r="G2" s="33"/>
      <c r="H2" s="33"/>
      <c r="I2" s="33"/>
    </row>
    <row r="3" spans="2:9" ht="15.75" thickBot="1" x14ac:dyDescent="0.3"/>
    <row r="4" spans="2:9" ht="15.75" thickBot="1" x14ac:dyDescent="0.3">
      <c r="B4" s="3" t="s">
        <v>10</v>
      </c>
      <c r="C4" s="28">
        <v>0.03</v>
      </c>
    </row>
    <row r="5" spans="2:9" ht="15.75" thickBot="1" x14ac:dyDescent="0.3">
      <c r="B5" s="3"/>
    </row>
    <row r="6" spans="2:9" ht="15.75" thickBot="1" x14ac:dyDescent="0.3">
      <c r="B6" s="3" t="s">
        <v>11</v>
      </c>
      <c r="C6" s="30">
        <v>2021</v>
      </c>
    </row>
    <row r="7" spans="2:9" ht="15.75" thickBot="1" x14ac:dyDescent="0.3">
      <c r="B7" s="3"/>
    </row>
    <row r="8" spans="2:9" ht="15.75" thickBot="1" x14ac:dyDescent="0.3">
      <c r="B8" s="3" t="s">
        <v>38</v>
      </c>
      <c r="C8" s="29">
        <v>0.9</v>
      </c>
      <c r="D8" s="22" t="s">
        <v>37</v>
      </c>
    </row>
    <row r="10" spans="2:9" x14ac:dyDescent="0.25">
      <c r="B10" s="34" t="s">
        <v>54</v>
      </c>
      <c r="C10" s="33"/>
      <c r="D10" s="33"/>
      <c r="E10" s="33"/>
      <c r="F10" s="33"/>
      <c r="G10" s="33"/>
      <c r="H10" s="33"/>
      <c r="I10" s="33"/>
    </row>
    <row r="12" spans="2:9" x14ac:dyDescent="0.25">
      <c r="B12" s="3" t="s">
        <v>49</v>
      </c>
      <c r="C12" s="31"/>
      <c r="D12" s="22" t="s">
        <v>52</v>
      </c>
    </row>
    <row r="13" spans="2:9" x14ac:dyDescent="0.25">
      <c r="B13" s="3"/>
      <c r="C13" s="31"/>
    </row>
    <row r="14" spans="2:9" x14ac:dyDescent="0.25">
      <c r="B14" s="14" t="s">
        <v>50</v>
      </c>
      <c r="C14" s="32" t="s">
        <v>51</v>
      </c>
      <c r="D14" s="31" t="s">
        <v>65</v>
      </c>
    </row>
    <row r="15" spans="2:9" x14ac:dyDescent="0.25">
      <c r="B15" s="14" t="s">
        <v>15</v>
      </c>
      <c r="C15" s="32" t="s">
        <v>51</v>
      </c>
      <c r="D15" s="31" t="s">
        <v>65</v>
      </c>
    </row>
    <row r="16" spans="2:9" x14ac:dyDescent="0.25">
      <c r="B16" s="14" t="s">
        <v>16</v>
      </c>
      <c r="C16" s="32">
        <v>2</v>
      </c>
      <c r="D16" s="31" t="s">
        <v>65</v>
      </c>
    </row>
    <row r="17" spans="2:4" x14ac:dyDescent="0.25">
      <c r="B17" s="14" t="s">
        <v>17</v>
      </c>
      <c r="C17" s="32">
        <v>3</v>
      </c>
      <c r="D17" s="31" t="s">
        <v>65</v>
      </c>
    </row>
    <row r="18" spans="2:4" x14ac:dyDescent="0.25">
      <c r="B18" s="14" t="s">
        <v>18</v>
      </c>
      <c r="C18" s="32">
        <v>5</v>
      </c>
      <c r="D18" s="31" t="s">
        <v>65</v>
      </c>
    </row>
  </sheetData>
  <dataValidations count="1">
    <dataValidation type="list" allowBlank="1" showInputMessage="1" showErrorMessage="1" sqref="C16:C18" xr:uid="{831E8187-A94B-44F0-9BC3-042DFB46514B}">
      <formula1>"1,2,3,4,5"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6C131-42A2-417D-9B3B-BCF2988E529B}">
  <sheetPr>
    <tabColor theme="4"/>
  </sheetPr>
  <dimension ref="B2:P81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77" sqref="D77"/>
    </sheetView>
  </sheetViews>
  <sheetFormatPr defaultColWidth="9.140625" defaultRowHeight="15" x14ac:dyDescent="0.25"/>
  <cols>
    <col min="1" max="1" width="9.140625" style="1"/>
    <col min="2" max="2" width="34.5703125" style="1" bestFit="1" customWidth="1"/>
    <col min="3" max="7" width="15.85546875" style="1" bestFit="1" customWidth="1"/>
    <col min="8" max="8" width="16.5703125" style="1" bestFit="1" customWidth="1"/>
    <col min="9" max="13" width="15.85546875" style="1" bestFit="1" customWidth="1"/>
    <col min="14" max="16384" width="9.140625" style="1"/>
  </cols>
  <sheetData>
    <row r="2" spans="2:16" s="2" customFormat="1" x14ac:dyDescent="0.25">
      <c r="B2" s="9" t="str">
        <f ca="1">MID(CELL("filename",A1),FIND("]",CELL("filename",A1))+1,256)</f>
        <v>PWD CIP</v>
      </c>
      <c r="C2" s="41">
        <f t="shared" ref="C2:F2" si="0">+D2-1</f>
        <v>2015</v>
      </c>
      <c r="D2" s="41">
        <f t="shared" si="0"/>
        <v>2016</v>
      </c>
      <c r="E2" s="41">
        <f t="shared" si="0"/>
        <v>2017</v>
      </c>
      <c r="F2" s="41">
        <f t="shared" si="0"/>
        <v>2018</v>
      </c>
      <c r="G2" s="41">
        <v>2019</v>
      </c>
      <c r="H2" s="41">
        <f>+G2+1</f>
        <v>2020</v>
      </c>
      <c r="I2" s="41">
        <f t="shared" ref="I2:M2" si="1">+H2+1</f>
        <v>2021</v>
      </c>
      <c r="J2" s="41">
        <f t="shared" si="1"/>
        <v>2022</v>
      </c>
      <c r="K2" s="41">
        <f t="shared" si="1"/>
        <v>2023</v>
      </c>
      <c r="L2" s="41">
        <f t="shared" si="1"/>
        <v>2024</v>
      </c>
      <c r="M2" s="41">
        <f t="shared" si="1"/>
        <v>2025</v>
      </c>
    </row>
    <row r="4" spans="2:16" x14ac:dyDescent="0.25">
      <c r="B4" s="2" t="s">
        <v>47</v>
      </c>
      <c r="O4" s="1" t="s">
        <v>48</v>
      </c>
      <c r="P4" s="1" t="s">
        <v>72</v>
      </c>
    </row>
    <row r="5" spans="2:16" x14ac:dyDescent="0.25">
      <c r="B5" s="3" t="s">
        <v>13</v>
      </c>
    </row>
    <row r="6" spans="2:16" x14ac:dyDescent="0.25">
      <c r="B6" s="14" t="s">
        <v>14</v>
      </c>
      <c r="C6" s="39">
        <f>28633000-2000000</f>
        <v>26633000</v>
      </c>
      <c r="D6" s="39">
        <f>40128000-10000000</f>
        <v>30128000</v>
      </c>
      <c r="E6" s="39">
        <f>42325000-8000000</f>
        <v>34325000</v>
      </c>
      <c r="F6" s="39">
        <f>50698000-15000000</f>
        <v>35698000</v>
      </c>
      <c r="G6" s="39">
        <f>31645000-12000000</f>
        <v>19645000</v>
      </c>
      <c r="H6" s="39">
        <f>28047000-12000000</f>
        <v>16047000</v>
      </c>
      <c r="I6" s="39">
        <f>25865000-12000000</f>
        <v>13865000</v>
      </c>
      <c r="J6" s="39">
        <f>25865000-12000000</f>
        <v>13865000</v>
      </c>
      <c r="K6" s="39">
        <f t="shared" ref="K6:M6" si="2">25865000-12000000</f>
        <v>13865000</v>
      </c>
      <c r="L6" s="39">
        <f t="shared" si="2"/>
        <v>13865000</v>
      </c>
      <c r="M6" s="39">
        <f t="shared" si="2"/>
        <v>13865000</v>
      </c>
      <c r="O6" s="1" t="s">
        <v>68</v>
      </c>
    </row>
    <row r="7" spans="2:16" x14ac:dyDescent="0.25">
      <c r="B7" s="14" t="s">
        <v>15</v>
      </c>
      <c r="C7" s="39">
        <v>2000000</v>
      </c>
      <c r="D7" s="39">
        <v>10000000</v>
      </c>
      <c r="E7" s="39">
        <v>8000000</v>
      </c>
      <c r="F7" s="39">
        <v>15000000</v>
      </c>
      <c r="G7" s="39">
        <v>12000000</v>
      </c>
      <c r="H7" s="39">
        <v>12000000</v>
      </c>
      <c r="I7" s="39">
        <v>12000000</v>
      </c>
      <c r="J7" s="39">
        <v>12000000</v>
      </c>
      <c r="K7" s="39">
        <v>12000000</v>
      </c>
      <c r="L7" s="39">
        <v>12000000</v>
      </c>
      <c r="M7" s="39">
        <v>12000000</v>
      </c>
      <c r="O7" s="1" t="s">
        <v>69</v>
      </c>
    </row>
    <row r="8" spans="2:16" x14ac:dyDescent="0.25">
      <c r="B8" s="3" t="s">
        <v>16</v>
      </c>
      <c r="C8" s="39">
        <v>36060000</v>
      </c>
      <c r="D8" s="39">
        <v>49060000</v>
      </c>
      <c r="E8" s="39">
        <v>51060000</v>
      </c>
      <c r="F8" s="39">
        <v>75060000</v>
      </c>
      <c r="G8" s="39">
        <v>89060000</v>
      </c>
      <c r="H8" s="39">
        <v>113060000</v>
      </c>
      <c r="I8" s="39">
        <v>98060000</v>
      </c>
      <c r="J8" s="39">
        <v>106060000</v>
      </c>
      <c r="K8" s="39">
        <v>177160000</v>
      </c>
      <c r="L8" s="39">
        <v>122460000</v>
      </c>
      <c r="M8" s="39">
        <v>113060000</v>
      </c>
      <c r="O8" s="1" t="s">
        <v>67</v>
      </c>
    </row>
    <row r="9" spans="2:16" x14ac:dyDescent="0.25">
      <c r="B9" s="3" t="s">
        <v>17</v>
      </c>
      <c r="C9" s="39">
        <v>70660000</v>
      </c>
      <c r="D9" s="39">
        <v>84960000</v>
      </c>
      <c r="E9" s="39">
        <v>98244000</v>
      </c>
      <c r="F9" s="39">
        <v>107900000</v>
      </c>
      <c r="G9" s="39">
        <v>113000000</v>
      </c>
      <c r="H9" s="39">
        <v>139800000</v>
      </c>
      <c r="I9" s="39">
        <v>159460000</v>
      </c>
      <c r="J9" s="39">
        <v>154860000</v>
      </c>
      <c r="K9" s="39">
        <v>154860000</v>
      </c>
      <c r="L9" s="39">
        <v>154860000</v>
      </c>
      <c r="M9" s="39">
        <v>154860000</v>
      </c>
      <c r="O9" s="1" t="s">
        <v>66</v>
      </c>
    </row>
    <row r="10" spans="2:16" x14ac:dyDescent="0.25">
      <c r="B10" s="3" t="s">
        <v>18</v>
      </c>
      <c r="C10" s="39">
        <v>125000000</v>
      </c>
      <c r="D10" s="39">
        <v>109893000</v>
      </c>
      <c r="E10" s="39">
        <v>110000000</v>
      </c>
      <c r="F10" s="39">
        <v>120000000</v>
      </c>
      <c r="G10" s="39">
        <v>120000000</v>
      </c>
      <c r="H10" s="39">
        <v>120000000</v>
      </c>
      <c r="I10" s="39">
        <v>328000000</v>
      </c>
      <c r="J10" s="39">
        <v>259200000</v>
      </c>
      <c r="K10" s="39">
        <v>356500000</v>
      </c>
      <c r="L10" s="39">
        <v>190200000</v>
      </c>
      <c r="M10" s="39">
        <v>301200000</v>
      </c>
      <c r="O10" s="1" t="s">
        <v>70</v>
      </c>
    </row>
    <row r="12" spans="2:16" x14ac:dyDescent="0.25">
      <c r="B12" s="11" t="s">
        <v>19</v>
      </c>
      <c r="C12" s="12">
        <f t="shared" ref="C12:M12" si="3">SUM(C6:C11)</f>
        <v>260353000</v>
      </c>
      <c r="D12" s="12">
        <f t="shared" si="3"/>
        <v>284041000</v>
      </c>
      <c r="E12" s="12">
        <f t="shared" si="3"/>
        <v>301629000</v>
      </c>
      <c r="F12" s="12">
        <f t="shared" si="3"/>
        <v>353658000</v>
      </c>
      <c r="G12" s="12">
        <f t="shared" si="3"/>
        <v>353705000</v>
      </c>
      <c r="H12" s="12">
        <f t="shared" si="3"/>
        <v>400907000</v>
      </c>
      <c r="I12" s="12">
        <f t="shared" si="3"/>
        <v>611385000</v>
      </c>
      <c r="J12" s="12">
        <f t="shared" si="3"/>
        <v>545985000</v>
      </c>
      <c r="K12" s="12">
        <f t="shared" si="3"/>
        <v>714385000</v>
      </c>
      <c r="L12" s="12">
        <f t="shared" si="3"/>
        <v>493385000</v>
      </c>
      <c r="M12" s="12">
        <f t="shared" si="3"/>
        <v>594985000</v>
      </c>
    </row>
    <row r="13" spans="2:16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5" spans="2:16" x14ac:dyDescent="0.25">
      <c r="B15" s="2" t="s">
        <v>32</v>
      </c>
    </row>
    <row r="16" spans="2:16" x14ac:dyDescent="0.25">
      <c r="B16" s="3" t="s">
        <v>13</v>
      </c>
    </row>
    <row r="17" spans="2:15" x14ac:dyDescent="0.25">
      <c r="B17" s="14" t="s">
        <v>33</v>
      </c>
      <c r="C17" s="39"/>
      <c r="D17" s="39"/>
      <c r="E17" s="39"/>
      <c r="F17" s="39"/>
      <c r="G17" s="39"/>
      <c r="H17" s="39"/>
      <c r="I17" s="39"/>
      <c r="J17" s="39">
        <f>-1724000</f>
        <v>-1724000</v>
      </c>
      <c r="K17" s="39">
        <f>+J17-1760000</f>
        <v>-3484000</v>
      </c>
      <c r="L17" s="39">
        <f>+K17-1760000</f>
        <v>-5244000</v>
      </c>
      <c r="M17" s="39">
        <f>+L17-1760000</f>
        <v>-7004000</v>
      </c>
      <c r="O17" s="1" t="s">
        <v>8</v>
      </c>
    </row>
    <row r="18" spans="2:15" x14ac:dyDescent="0.25">
      <c r="B18" s="14" t="s">
        <v>15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5" x14ac:dyDescent="0.25">
      <c r="B19" s="3" t="s">
        <v>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5" x14ac:dyDescent="0.25">
      <c r="B20" s="3" t="s">
        <v>17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2:15" x14ac:dyDescent="0.25">
      <c r="B21" s="3" t="s">
        <v>18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3" spans="2:15" x14ac:dyDescent="0.25">
      <c r="B23" s="13" t="s">
        <v>19</v>
      </c>
      <c r="C23" s="12">
        <f t="shared" ref="C23:M23" si="4">SUM(C17:C22)</f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-1724000</v>
      </c>
      <c r="K23" s="12">
        <f t="shared" si="4"/>
        <v>-3484000</v>
      </c>
      <c r="L23" s="12">
        <f t="shared" si="4"/>
        <v>-5244000</v>
      </c>
      <c r="M23" s="12">
        <f t="shared" si="4"/>
        <v>-7004000</v>
      </c>
    </row>
    <row r="24" spans="2:15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5" x14ac:dyDescent="0.25">
      <c r="B25" s="2" t="s">
        <v>35</v>
      </c>
      <c r="O25" s="1" t="s">
        <v>63</v>
      </c>
    </row>
    <row r="26" spans="2:15" x14ac:dyDescent="0.25">
      <c r="B26" s="3" t="s">
        <v>13</v>
      </c>
    </row>
    <row r="27" spans="2:15" x14ac:dyDescent="0.25">
      <c r="B27" s="14" t="s">
        <v>14</v>
      </c>
      <c r="C27" s="4">
        <f t="shared" ref="C27:M27" si="5">+C6+C17</f>
        <v>26633000</v>
      </c>
      <c r="D27" s="4">
        <f t="shared" si="5"/>
        <v>30128000</v>
      </c>
      <c r="E27" s="4">
        <f t="shared" si="5"/>
        <v>34325000</v>
      </c>
      <c r="F27" s="4">
        <f t="shared" si="5"/>
        <v>35698000</v>
      </c>
      <c r="G27" s="4">
        <f t="shared" si="5"/>
        <v>19645000</v>
      </c>
      <c r="H27" s="4">
        <f t="shared" si="5"/>
        <v>16047000</v>
      </c>
      <c r="I27" s="4">
        <f t="shared" si="5"/>
        <v>13865000</v>
      </c>
      <c r="J27" s="4">
        <f t="shared" si="5"/>
        <v>12141000</v>
      </c>
      <c r="K27" s="4">
        <f t="shared" si="5"/>
        <v>10381000</v>
      </c>
      <c r="L27" s="4">
        <f t="shared" si="5"/>
        <v>8621000</v>
      </c>
      <c r="M27" s="4">
        <f t="shared" si="5"/>
        <v>6861000</v>
      </c>
    </row>
    <row r="28" spans="2:15" x14ac:dyDescent="0.25">
      <c r="B28" s="14" t="s">
        <v>15</v>
      </c>
      <c r="C28" s="4">
        <f t="shared" ref="C28:M28" si="6">+C7+C18</f>
        <v>2000000</v>
      </c>
      <c r="D28" s="4">
        <f t="shared" si="6"/>
        <v>10000000</v>
      </c>
      <c r="E28" s="4">
        <f t="shared" si="6"/>
        <v>8000000</v>
      </c>
      <c r="F28" s="4">
        <f t="shared" si="6"/>
        <v>15000000</v>
      </c>
      <c r="G28" s="4">
        <f t="shared" si="6"/>
        <v>12000000</v>
      </c>
      <c r="H28" s="4">
        <f t="shared" si="6"/>
        <v>12000000</v>
      </c>
      <c r="I28" s="4">
        <f t="shared" si="6"/>
        <v>12000000</v>
      </c>
      <c r="J28" s="4">
        <f t="shared" si="6"/>
        <v>12000000</v>
      </c>
      <c r="K28" s="4">
        <f t="shared" si="6"/>
        <v>12000000</v>
      </c>
      <c r="L28" s="4">
        <f t="shared" si="6"/>
        <v>12000000</v>
      </c>
      <c r="M28" s="4">
        <f t="shared" si="6"/>
        <v>12000000</v>
      </c>
    </row>
    <row r="29" spans="2:15" x14ac:dyDescent="0.25">
      <c r="B29" s="3" t="s">
        <v>16</v>
      </c>
      <c r="C29" s="4">
        <f t="shared" ref="C29:M29" si="7">+C8+C19</f>
        <v>36060000</v>
      </c>
      <c r="D29" s="4">
        <f t="shared" si="7"/>
        <v>49060000</v>
      </c>
      <c r="E29" s="4">
        <f t="shared" si="7"/>
        <v>51060000</v>
      </c>
      <c r="F29" s="4">
        <f t="shared" si="7"/>
        <v>75060000</v>
      </c>
      <c r="G29" s="4">
        <f t="shared" si="7"/>
        <v>89060000</v>
      </c>
      <c r="H29" s="4">
        <f t="shared" si="7"/>
        <v>113060000</v>
      </c>
      <c r="I29" s="4">
        <f t="shared" si="7"/>
        <v>98060000</v>
      </c>
      <c r="J29" s="4">
        <f t="shared" si="7"/>
        <v>106060000</v>
      </c>
      <c r="K29" s="4">
        <f t="shared" si="7"/>
        <v>177160000</v>
      </c>
      <c r="L29" s="4">
        <f t="shared" si="7"/>
        <v>122460000</v>
      </c>
      <c r="M29" s="4">
        <f t="shared" si="7"/>
        <v>113060000</v>
      </c>
    </row>
    <row r="30" spans="2:15" x14ac:dyDescent="0.25">
      <c r="B30" s="3" t="s">
        <v>17</v>
      </c>
      <c r="C30" s="4">
        <f t="shared" ref="C30:M30" si="8">+C9+C20</f>
        <v>70660000</v>
      </c>
      <c r="D30" s="4">
        <f t="shared" si="8"/>
        <v>84960000</v>
      </c>
      <c r="E30" s="4">
        <f t="shared" si="8"/>
        <v>98244000</v>
      </c>
      <c r="F30" s="4">
        <f t="shared" si="8"/>
        <v>107900000</v>
      </c>
      <c r="G30" s="4">
        <f t="shared" si="8"/>
        <v>113000000</v>
      </c>
      <c r="H30" s="4">
        <f t="shared" si="8"/>
        <v>139800000</v>
      </c>
      <c r="I30" s="4">
        <f t="shared" si="8"/>
        <v>159460000</v>
      </c>
      <c r="J30" s="4">
        <f t="shared" si="8"/>
        <v>154860000</v>
      </c>
      <c r="K30" s="4">
        <f t="shared" si="8"/>
        <v>154860000</v>
      </c>
      <c r="L30" s="4">
        <f t="shared" si="8"/>
        <v>154860000</v>
      </c>
      <c r="M30" s="4">
        <f t="shared" si="8"/>
        <v>154860000</v>
      </c>
    </row>
    <row r="31" spans="2:15" x14ac:dyDescent="0.25">
      <c r="B31" s="3" t="s">
        <v>18</v>
      </c>
      <c r="C31" s="4">
        <f t="shared" ref="C31:M31" si="9">+C10+C21</f>
        <v>125000000</v>
      </c>
      <c r="D31" s="4">
        <f t="shared" si="9"/>
        <v>109893000</v>
      </c>
      <c r="E31" s="4">
        <f t="shared" si="9"/>
        <v>110000000</v>
      </c>
      <c r="F31" s="4">
        <f t="shared" si="9"/>
        <v>120000000</v>
      </c>
      <c r="G31" s="4">
        <f t="shared" si="9"/>
        <v>120000000</v>
      </c>
      <c r="H31" s="4">
        <f t="shared" si="9"/>
        <v>120000000</v>
      </c>
      <c r="I31" s="4">
        <f t="shared" si="9"/>
        <v>328000000</v>
      </c>
      <c r="J31" s="4">
        <f t="shared" si="9"/>
        <v>259200000</v>
      </c>
      <c r="K31" s="4">
        <f t="shared" si="9"/>
        <v>356500000</v>
      </c>
      <c r="L31" s="4">
        <f t="shared" si="9"/>
        <v>190200000</v>
      </c>
      <c r="M31" s="4">
        <f t="shared" si="9"/>
        <v>301200000</v>
      </c>
    </row>
    <row r="33" spans="2:15" x14ac:dyDescent="0.25">
      <c r="B33" s="11" t="s">
        <v>19</v>
      </c>
      <c r="C33" s="12">
        <f t="shared" ref="C33:M33" si="10">SUM(C27:C32)</f>
        <v>260353000</v>
      </c>
      <c r="D33" s="12">
        <f t="shared" si="10"/>
        <v>284041000</v>
      </c>
      <c r="E33" s="12">
        <f t="shared" si="10"/>
        <v>301629000</v>
      </c>
      <c r="F33" s="12">
        <f t="shared" si="10"/>
        <v>353658000</v>
      </c>
      <c r="G33" s="12">
        <f t="shared" si="10"/>
        <v>353705000</v>
      </c>
      <c r="H33" s="12">
        <f t="shared" si="10"/>
        <v>400907000</v>
      </c>
      <c r="I33" s="12">
        <f t="shared" si="10"/>
        <v>611385000</v>
      </c>
      <c r="J33" s="12">
        <f t="shared" si="10"/>
        <v>544261000</v>
      </c>
      <c r="K33" s="12">
        <f t="shared" si="10"/>
        <v>710901000</v>
      </c>
      <c r="L33" s="12">
        <f t="shared" si="10"/>
        <v>488141000</v>
      </c>
      <c r="M33" s="12">
        <f t="shared" si="10"/>
        <v>587981000</v>
      </c>
    </row>
    <row r="34" spans="2:15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6" spans="2:15" x14ac:dyDescent="0.25">
      <c r="B36" s="2" t="s">
        <v>36</v>
      </c>
      <c r="O36" s="1" t="s">
        <v>62</v>
      </c>
    </row>
    <row r="37" spans="2:15" x14ac:dyDescent="0.25">
      <c r="B37" s="3" t="s">
        <v>13</v>
      </c>
    </row>
    <row r="38" spans="2:15" x14ac:dyDescent="0.25">
      <c r="B38" s="14" t="s">
        <v>14</v>
      </c>
      <c r="C38" s="4">
        <f>IF(C$2&gt;Assumptions!$C$6,C27*((1+Assumptions!$C$4)^(C$2-Assumptions!$C$6)),C27)</f>
        <v>26633000</v>
      </c>
      <c r="D38" s="4">
        <f>IF(D$2&gt;Assumptions!$C$6,D27*((1+Assumptions!$C$4)^(D$2-Assumptions!$C$6)),D27)</f>
        <v>30128000</v>
      </c>
      <c r="E38" s="4">
        <f>IF(E$2&gt;Assumptions!$C$6,E27*((1+Assumptions!$C$4)^(E$2-Assumptions!$C$6)),E27)</f>
        <v>34325000</v>
      </c>
      <c r="F38" s="4">
        <f>IF(F$2&gt;Assumptions!$C$6,F27*((1+Assumptions!$C$4)^(F$2-Assumptions!$C$6)),F27)</f>
        <v>35698000</v>
      </c>
      <c r="G38" s="4">
        <f>IF(G$2&gt;Assumptions!$C$6,G27*((1+Assumptions!$C$4)^(G$2-Assumptions!$C$6)),G27)</f>
        <v>19645000</v>
      </c>
      <c r="H38" s="4">
        <f>IF(H$2&gt;Assumptions!$C$6,H27*((1+Assumptions!$C$4)^(H$2-Assumptions!$C$6)),H27)</f>
        <v>16047000</v>
      </c>
      <c r="I38" s="4">
        <f>IF(I$2&gt;Assumptions!$C$6,I27*((1+Assumptions!$C$4)^(I$2-Assumptions!$C$6)),I27)</f>
        <v>13865000</v>
      </c>
      <c r="J38" s="4">
        <f>IF(J$2&gt;Assumptions!$C$6,J27*((1+Assumptions!$C$4)^(J$2-Assumptions!$C$6)),J27)</f>
        <v>12505230</v>
      </c>
      <c r="K38" s="4">
        <f>IF(K$2&gt;Assumptions!$C$6,K27*((1+Assumptions!$C$4)^(K$2-Assumptions!$C$6)),K27)</f>
        <v>11013202.9</v>
      </c>
      <c r="L38" s="4">
        <f>IF(L$2&gt;Assumptions!$C$6,L27*((1+Assumptions!$C$4)^(L$2-Assumptions!$C$6)),L27)</f>
        <v>9420399.4670000002</v>
      </c>
      <c r="M38" s="4">
        <f>IF(M$2&gt;Assumptions!$C$6,M27*((1+Assumptions!$C$4)^(M$2-Assumptions!$C$6)),M27)</f>
        <v>7722115.9454099992</v>
      </c>
    </row>
    <row r="39" spans="2:15" x14ac:dyDescent="0.25">
      <c r="B39" s="14" t="s">
        <v>15</v>
      </c>
      <c r="C39" s="4">
        <f>IF(C$2&gt;Assumptions!$C$6,C28*((1+Assumptions!$C$4)^(C$2-Assumptions!$C$6)),C28)</f>
        <v>2000000</v>
      </c>
      <c r="D39" s="4">
        <f>IF(D$2&gt;Assumptions!$C$6,D28*((1+Assumptions!$C$4)^(D$2-Assumptions!$C$6)),D28)</f>
        <v>10000000</v>
      </c>
      <c r="E39" s="4">
        <f>IF(E$2&gt;Assumptions!$C$6,E28*((1+Assumptions!$C$4)^(E$2-Assumptions!$C$6)),E28)</f>
        <v>8000000</v>
      </c>
      <c r="F39" s="4">
        <f>IF(F$2&gt;Assumptions!$C$6,F28*((1+Assumptions!$C$4)^(F$2-Assumptions!$C$6)),F28)</f>
        <v>15000000</v>
      </c>
      <c r="G39" s="4">
        <f>IF(G$2&gt;Assumptions!$C$6,G28*((1+Assumptions!$C$4)^(G$2-Assumptions!$C$6)),G28)</f>
        <v>12000000</v>
      </c>
      <c r="H39" s="4">
        <f>IF(H$2&gt;Assumptions!$C$6,H28*((1+Assumptions!$C$4)^(H$2-Assumptions!$C$6)),H28)</f>
        <v>12000000</v>
      </c>
      <c r="I39" s="4">
        <f>IF(I$2&gt;Assumptions!$C$6,I28*((1+Assumptions!$C$4)^(I$2-Assumptions!$C$6)),I28)</f>
        <v>12000000</v>
      </c>
      <c r="J39" s="4">
        <f>IF(J$2&gt;Assumptions!$C$6,J28*((1+Assumptions!$C$4)^(J$2-Assumptions!$C$6)),J28)</f>
        <v>12360000</v>
      </c>
      <c r="K39" s="4">
        <f>IF(K$2&gt;Assumptions!$C$6,K28*((1+Assumptions!$C$4)^(K$2-Assumptions!$C$6)),K28)</f>
        <v>12730800</v>
      </c>
      <c r="L39" s="4">
        <f>IF(L$2&gt;Assumptions!$C$6,L28*((1+Assumptions!$C$4)^(L$2-Assumptions!$C$6)),L28)</f>
        <v>13112724</v>
      </c>
      <c r="M39" s="4">
        <f>IF(M$2&gt;Assumptions!$C$6,M28*((1+Assumptions!$C$4)^(M$2-Assumptions!$C$6)),M28)</f>
        <v>13506105.719999999</v>
      </c>
    </row>
    <row r="40" spans="2:15" x14ac:dyDescent="0.25">
      <c r="B40" s="3" t="s">
        <v>16</v>
      </c>
      <c r="C40" s="4">
        <f>IF(C$2&gt;Assumptions!$C$6,C29*((1+Assumptions!$C$4)^(C$2-Assumptions!$C$6)),C29)</f>
        <v>36060000</v>
      </c>
      <c r="D40" s="4">
        <f>IF(D$2&gt;Assumptions!$C$6,D29*((1+Assumptions!$C$4)^(D$2-Assumptions!$C$6)),D29)</f>
        <v>49060000</v>
      </c>
      <c r="E40" s="4">
        <f>IF(E$2&gt;Assumptions!$C$6,E29*((1+Assumptions!$C$4)^(E$2-Assumptions!$C$6)),E29)</f>
        <v>51060000</v>
      </c>
      <c r="F40" s="4">
        <f>IF(F$2&gt;Assumptions!$C$6,F29*((1+Assumptions!$C$4)^(F$2-Assumptions!$C$6)),F29)</f>
        <v>75060000</v>
      </c>
      <c r="G40" s="4">
        <f>IF(G$2&gt;Assumptions!$C$6,G29*((1+Assumptions!$C$4)^(G$2-Assumptions!$C$6)),G29)</f>
        <v>89060000</v>
      </c>
      <c r="H40" s="4">
        <f>IF(H$2&gt;Assumptions!$C$6,H29*((1+Assumptions!$C$4)^(H$2-Assumptions!$C$6)),H29)</f>
        <v>113060000</v>
      </c>
      <c r="I40" s="4">
        <f>IF(I$2&gt;Assumptions!$C$6,I29*((1+Assumptions!$C$4)^(I$2-Assumptions!$C$6)),I29)</f>
        <v>98060000</v>
      </c>
      <c r="J40" s="4">
        <f>IF(J$2&gt;Assumptions!$C$6,J29*((1+Assumptions!$C$4)^(J$2-Assumptions!$C$6)),J29)</f>
        <v>109241800</v>
      </c>
      <c r="K40" s="4">
        <f>IF(K$2&gt;Assumptions!$C$6,K29*((1+Assumptions!$C$4)^(K$2-Assumptions!$C$6)),K29)</f>
        <v>187949044</v>
      </c>
      <c r="L40" s="4">
        <f>IF(L$2&gt;Assumptions!$C$6,L29*((1+Assumptions!$C$4)^(L$2-Assumptions!$C$6)),L29)</f>
        <v>133815348.42</v>
      </c>
      <c r="M40" s="4">
        <f>IF(M$2&gt;Assumptions!$C$6,M29*((1+Assumptions!$C$4)^(M$2-Assumptions!$C$6)),M29)</f>
        <v>127250026.05859999</v>
      </c>
    </row>
    <row r="41" spans="2:15" x14ac:dyDescent="0.25">
      <c r="B41" s="3" t="s">
        <v>17</v>
      </c>
      <c r="C41" s="4">
        <f>IF(C$2&gt;Assumptions!$C$6,C30*((1+Assumptions!$C$4)^(C$2-Assumptions!$C$6)),C30)</f>
        <v>70660000</v>
      </c>
      <c r="D41" s="4">
        <f>IF(D$2&gt;Assumptions!$C$6,D30*((1+Assumptions!$C$4)^(D$2-Assumptions!$C$6)),D30)</f>
        <v>84960000</v>
      </c>
      <c r="E41" s="4">
        <f>IF(E$2&gt;Assumptions!$C$6,E30*((1+Assumptions!$C$4)^(E$2-Assumptions!$C$6)),E30)</f>
        <v>98244000</v>
      </c>
      <c r="F41" s="4">
        <f>IF(F$2&gt;Assumptions!$C$6,F30*((1+Assumptions!$C$4)^(F$2-Assumptions!$C$6)),F30)</f>
        <v>107900000</v>
      </c>
      <c r="G41" s="4">
        <f>IF(G$2&gt;Assumptions!$C$6,G30*((1+Assumptions!$C$4)^(G$2-Assumptions!$C$6)),G30)</f>
        <v>113000000</v>
      </c>
      <c r="H41" s="4">
        <f>IF(H$2&gt;Assumptions!$C$6,H30*((1+Assumptions!$C$4)^(H$2-Assumptions!$C$6)),H30)</f>
        <v>139800000</v>
      </c>
      <c r="I41" s="4">
        <f>IF(I$2&gt;Assumptions!$C$6,I30*((1+Assumptions!$C$4)^(I$2-Assumptions!$C$6)),I30)</f>
        <v>159460000</v>
      </c>
      <c r="J41" s="4">
        <f>IF(J$2&gt;Assumptions!$C$6,J30*((1+Assumptions!$C$4)^(J$2-Assumptions!$C$6)),J30)</f>
        <v>159505800</v>
      </c>
      <c r="K41" s="4">
        <f>IF(K$2&gt;Assumptions!$C$6,K30*((1+Assumptions!$C$4)^(K$2-Assumptions!$C$6)),K30)</f>
        <v>164290974</v>
      </c>
      <c r="L41" s="4">
        <f>IF(L$2&gt;Assumptions!$C$6,L30*((1+Assumptions!$C$4)^(L$2-Assumptions!$C$6)),L30)</f>
        <v>169219703.22</v>
      </c>
      <c r="M41" s="4">
        <f>IF(M$2&gt;Assumptions!$C$6,M30*((1+Assumptions!$C$4)^(M$2-Assumptions!$C$6)),M30)</f>
        <v>174296294.31659999</v>
      </c>
    </row>
    <row r="42" spans="2:15" x14ac:dyDescent="0.25">
      <c r="B42" s="3" t="s">
        <v>18</v>
      </c>
      <c r="C42" s="4">
        <f>IF(C$2&gt;Assumptions!$C$6,C31*((1+Assumptions!$C$4)^(C$2-Assumptions!$C$6)),C31)</f>
        <v>125000000</v>
      </c>
      <c r="D42" s="4">
        <f>IF(D$2&gt;Assumptions!$C$6,D31*((1+Assumptions!$C$4)^(D$2-Assumptions!$C$6)),D31)</f>
        <v>109893000</v>
      </c>
      <c r="E42" s="4">
        <f>IF(E$2&gt;Assumptions!$C$6,E31*((1+Assumptions!$C$4)^(E$2-Assumptions!$C$6)),E31)</f>
        <v>110000000</v>
      </c>
      <c r="F42" s="4">
        <f>IF(F$2&gt;Assumptions!$C$6,F31*((1+Assumptions!$C$4)^(F$2-Assumptions!$C$6)),F31)</f>
        <v>120000000</v>
      </c>
      <c r="G42" s="4">
        <f>IF(G$2&gt;Assumptions!$C$6,G31*((1+Assumptions!$C$4)^(G$2-Assumptions!$C$6)),G31)</f>
        <v>120000000</v>
      </c>
      <c r="H42" s="4">
        <f>IF(H$2&gt;Assumptions!$C$6,H31*((1+Assumptions!$C$4)^(H$2-Assumptions!$C$6)),H31)</f>
        <v>120000000</v>
      </c>
      <c r="I42" s="4">
        <f>IF(I$2&gt;Assumptions!$C$6,I31*((1+Assumptions!$C$4)^(I$2-Assumptions!$C$6)),I31)</f>
        <v>328000000</v>
      </c>
      <c r="J42" s="4">
        <f>IF(J$2&gt;Assumptions!$C$6,J31*((1+Assumptions!$C$4)^(J$2-Assumptions!$C$6)),J31)</f>
        <v>266976000</v>
      </c>
      <c r="K42" s="4">
        <f>IF(K$2&gt;Assumptions!$C$6,K31*((1+Assumptions!$C$4)^(K$2-Assumptions!$C$6)),K31)</f>
        <v>378210850</v>
      </c>
      <c r="L42" s="4">
        <f>IF(L$2&gt;Assumptions!$C$6,L31*((1+Assumptions!$C$4)^(L$2-Assumptions!$C$6)),L31)</f>
        <v>207836675.40000001</v>
      </c>
      <c r="M42" s="4">
        <f>IF(M$2&gt;Assumptions!$C$6,M31*((1+Assumptions!$C$4)^(M$2-Assumptions!$C$6)),M31)</f>
        <v>339003253.57199997</v>
      </c>
    </row>
    <row r="44" spans="2:15" x14ac:dyDescent="0.25">
      <c r="B44" s="11" t="s">
        <v>19</v>
      </c>
      <c r="C44" s="12">
        <f t="shared" ref="C44:M44" si="11">SUM(C38:C43)</f>
        <v>260353000</v>
      </c>
      <c r="D44" s="12">
        <f t="shared" si="11"/>
        <v>284041000</v>
      </c>
      <c r="E44" s="12">
        <f t="shared" si="11"/>
        <v>301629000</v>
      </c>
      <c r="F44" s="12">
        <f t="shared" si="11"/>
        <v>353658000</v>
      </c>
      <c r="G44" s="12">
        <f t="shared" si="11"/>
        <v>353705000</v>
      </c>
      <c r="H44" s="12">
        <f t="shared" si="11"/>
        <v>400907000</v>
      </c>
      <c r="I44" s="12">
        <f t="shared" si="11"/>
        <v>611385000</v>
      </c>
      <c r="J44" s="12">
        <f t="shared" si="11"/>
        <v>560588830</v>
      </c>
      <c r="K44" s="12">
        <f t="shared" si="11"/>
        <v>754194870.89999998</v>
      </c>
      <c r="L44" s="12">
        <f t="shared" si="11"/>
        <v>533404850.50699997</v>
      </c>
      <c r="M44" s="12">
        <f t="shared" si="11"/>
        <v>661777795.61260986</v>
      </c>
    </row>
    <row r="46" spans="2:15" x14ac:dyDescent="0.25">
      <c r="B46" s="11" t="s">
        <v>39</v>
      </c>
      <c r="C46" s="12"/>
      <c r="D46" s="12"/>
      <c r="E46" s="12"/>
      <c r="F46" s="12"/>
      <c r="G46" s="12"/>
      <c r="H46" s="12"/>
      <c r="I46" s="12">
        <f>I44-I33</f>
        <v>0</v>
      </c>
      <c r="J46" s="12">
        <f>J44-J33</f>
        <v>16327830</v>
      </c>
      <c r="K46" s="12">
        <f>K44-K33</f>
        <v>43293870.899999976</v>
      </c>
      <c r="L46" s="12">
        <f>L44-L33</f>
        <v>45263850.506999969</v>
      </c>
      <c r="M46" s="12">
        <f>M44-M33</f>
        <v>73796795.612609863</v>
      </c>
    </row>
    <row r="48" spans="2:15" s="16" customFormat="1" x14ac:dyDescent="0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2:15" x14ac:dyDescent="0.25">
      <c r="B49" s="2" t="s">
        <v>40</v>
      </c>
    </row>
    <row r="50" spans="2:15" x14ac:dyDescent="0.25">
      <c r="B50" s="3" t="s">
        <v>13</v>
      </c>
    </row>
    <row r="51" spans="2:15" x14ac:dyDescent="0.25">
      <c r="B51" s="14" t="s">
        <v>14</v>
      </c>
      <c r="C51" s="8"/>
      <c r="D51" s="8"/>
      <c r="E51" s="8"/>
      <c r="F51" s="8"/>
      <c r="G51" s="8"/>
      <c r="H51" s="8">
        <f>H38</f>
        <v>16047000</v>
      </c>
      <c r="I51" s="8">
        <f t="shared" ref="I51:M51" si="12">I38</f>
        <v>13865000</v>
      </c>
      <c r="J51" s="8">
        <f t="shared" si="12"/>
        <v>12505230</v>
      </c>
      <c r="K51" s="8">
        <f t="shared" si="12"/>
        <v>11013202.9</v>
      </c>
      <c r="L51" s="8">
        <f t="shared" si="12"/>
        <v>9420399.4670000002</v>
      </c>
      <c r="M51" s="8">
        <f t="shared" si="12"/>
        <v>7722115.9454099992</v>
      </c>
      <c r="O51" s="1" t="s">
        <v>58</v>
      </c>
    </row>
    <row r="52" spans="2:15" x14ac:dyDescent="0.25">
      <c r="B52" s="14" t="s">
        <v>15</v>
      </c>
      <c r="C52" s="8"/>
      <c r="D52" s="8"/>
      <c r="E52" s="8"/>
      <c r="F52" s="8"/>
      <c r="G52" s="8"/>
      <c r="H52" s="8">
        <f>H39</f>
        <v>12000000</v>
      </c>
      <c r="I52" s="8">
        <f t="shared" ref="I52:M52" si="13">I39</f>
        <v>12000000</v>
      </c>
      <c r="J52" s="8">
        <f t="shared" si="13"/>
        <v>12360000</v>
      </c>
      <c r="K52" s="8">
        <f t="shared" si="13"/>
        <v>12730800</v>
      </c>
      <c r="L52" s="8">
        <f t="shared" si="13"/>
        <v>13112724</v>
      </c>
      <c r="M52" s="8">
        <f t="shared" si="13"/>
        <v>13506105.719999999</v>
      </c>
      <c r="O52" s="1" t="s">
        <v>58</v>
      </c>
    </row>
    <row r="53" spans="2:15" x14ac:dyDescent="0.25">
      <c r="B53" s="3" t="s">
        <v>16</v>
      </c>
      <c r="C53" s="8"/>
      <c r="D53" s="8"/>
      <c r="E53" s="8"/>
      <c r="F53" s="8"/>
      <c r="G53" s="8"/>
      <c r="H53" s="8">
        <f>'Conveyance System'!H35</f>
        <v>101060000</v>
      </c>
      <c r="I53" s="8">
        <f>'Conveyance System'!I35</f>
        <v>105560000</v>
      </c>
      <c r="J53" s="8">
        <f>'Conveyance System'!J35</f>
        <v>105092900</v>
      </c>
      <c r="K53" s="8">
        <f>'Conveyance System'!K35</f>
        <v>115750422</v>
      </c>
      <c r="L53" s="8">
        <f>'Conveyance System'!L35</f>
        <v>155862196.21000001</v>
      </c>
      <c r="M53" s="8">
        <f>'Conveyance System'!M35</f>
        <v>165014687.23930001</v>
      </c>
      <c r="O53" s="1" t="s">
        <v>59</v>
      </c>
    </row>
    <row r="54" spans="2:15" x14ac:dyDescent="0.25">
      <c r="B54" s="3" t="s">
        <v>17</v>
      </c>
      <c r="C54" s="8"/>
      <c r="D54" s="8"/>
      <c r="E54" s="8"/>
      <c r="F54" s="8"/>
      <c r="G54" s="8"/>
      <c r="H54" s="8">
        <f>'Collector System'!H35</f>
        <v>120233333.33333333</v>
      </c>
      <c r="I54" s="8">
        <f>'Collector System'!I35</f>
        <v>137420000</v>
      </c>
      <c r="J54" s="8">
        <f>'Collector System'!J35</f>
        <v>152921933.33333334</v>
      </c>
      <c r="K54" s="8">
        <f>'Collector System'!K35</f>
        <v>161085591.33333334</v>
      </c>
      <c r="L54" s="8">
        <f>'Collector System'!L35</f>
        <v>164338825.74000001</v>
      </c>
      <c r="M54" s="8">
        <f>'Collector System'!M35</f>
        <v>169268990.5122</v>
      </c>
      <c r="O54" s="1" t="s">
        <v>60</v>
      </c>
    </row>
    <row r="55" spans="2:15" x14ac:dyDescent="0.25">
      <c r="B55" s="3" t="s">
        <v>18</v>
      </c>
      <c r="C55" s="8"/>
      <c r="D55" s="8"/>
      <c r="E55" s="8"/>
      <c r="F55" s="8"/>
      <c r="G55" s="8"/>
      <c r="H55" s="8">
        <f>Facilities!H35</f>
        <v>145978600</v>
      </c>
      <c r="I55" s="8">
        <f>Facilities!I35</f>
        <v>215500000</v>
      </c>
      <c r="J55" s="8">
        <f>Facilities!J35</f>
        <v>282596000</v>
      </c>
      <c r="K55" s="8">
        <f>Facilities!K35</f>
        <v>269784570</v>
      </c>
      <c r="L55" s="8">
        <f>Facilities!L35</f>
        <v>288948305.08000004</v>
      </c>
      <c r="M55" s="8">
        <f>Facilities!M35</f>
        <v>261752955.79439998</v>
      </c>
      <c r="O55" s="1" t="s">
        <v>61</v>
      </c>
    </row>
    <row r="57" spans="2:15" x14ac:dyDescent="0.25">
      <c r="B57" s="11" t="s">
        <v>19</v>
      </c>
      <c r="C57" s="12"/>
      <c r="D57" s="12"/>
      <c r="E57" s="12"/>
      <c r="F57" s="12"/>
      <c r="G57" s="12"/>
      <c r="H57" s="12">
        <f t="shared" ref="H57:M57" si="14">SUM(H51:H56)</f>
        <v>395318933.33333331</v>
      </c>
      <c r="I57" s="12">
        <f t="shared" si="14"/>
        <v>484345000</v>
      </c>
      <c r="J57" s="12">
        <f t="shared" si="14"/>
        <v>565476063.33333337</v>
      </c>
      <c r="K57" s="12">
        <f t="shared" si="14"/>
        <v>570364586.23333335</v>
      </c>
      <c r="L57" s="12">
        <f t="shared" si="14"/>
        <v>631682450.4970001</v>
      </c>
      <c r="M57" s="12">
        <f t="shared" si="14"/>
        <v>617264855.21130991</v>
      </c>
    </row>
    <row r="59" spans="2:15" x14ac:dyDescent="0.25">
      <c r="B59" s="2" t="s">
        <v>42</v>
      </c>
      <c r="O59" s="1" t="s">
        <v>64</v>
      </c>
    </row>
    <row r="60" spans="2:15" x14ac:dyDescent="0.25">
      <c r="B60" s="3" t="s">
        <v>13</v>
      </c>
    </row>
    <row r="61" spans="2:15" x14ac:dyDescent="0.25">
      <c r="B61" s="14" t="s">
        <v>14</v>
      </c>
      <c r="H61" s="4">
        <f>H51*Assumptions!$C$8</f>
        <v>14442300</v>
      </c>
      <c r="I61" s="4">
        <f>I51*Assumptions!$C$8</f>
        <v>12478500</v>
      </c>
      <c r="J61" s="4">
        <f>J51*Assumptions!$C$8</f>
        <v>11254707</v>
      </c>
      <c r="K61" s="4">
        <f>K51*Assumptions!$C$8</f>
        <v>9911882.6100000013</v>
      </c>
      <c r="L61" s="4">
        <f>L51*Assumptions!$C$8</f>
        <v>8478359.5203000009</v>
      </c>
      <c r="M61" s="4">
        <f>M51*Assumptions!$C$8</f>
        <v>6949904.350868999</v>
      </c>
    </row>
    <row r="62" spans="2:15" x14ac:dyDescent="0.25">
      <c r="B62" s="14" t="s">
        <v>15</v>
      </c>
      <c r="H62" s="4">
        <f>H52*Assumptions!$C$8</f>
        <v>10800000</v>
      </c>
      <c r="I62" s="4">
        <f>I52*Assumptions!$C$8</f>
        <v>10800000</v>
      </c>
      <c r="J62" s="4">
        <f>J52*Assumptions!$C$8</f>
        <v>11124000</v>
      </c>
      <c r="K62" s="4">
        <f>K52*Assumptions!$C$8</f>
        <v>11457720</v>
      </c>
      <c r="L62" s="4">
        <f>L52*Assumptions!$C$8</f>
        <v>11801451.6</v>
      </c>
      <c r="M62" s="4">
        <f>M52*Assumptions!$C$8</f>
        <v>12155495.148</v>
      </c>
    </row>
    <row r="63" spans="2:15" x14ac:dyDescent="0.25">
      <c r="B63" s="3" t="s">
        <v>16</v>
      </c>
      <c r="H63" s="4">
        <f>H53*Assumptions!$C$8</f>
        <v>90954000</v>
      </c>
      <c r="I63" s="4">
        <f>I53*Assumptions!$C$8</f>
        <v>95004000</v>
      </c>
      <c r="J63" s="4">
        <f>J53*Assumptions!$C$8</f>
        <v>94583610</v>
      </c>
      <c r="K63" s="4">
        <f>K53*Assumptions!$C$8</f>
        <v>104175379.8</v>
      </c>
      <c r="L63" s="4">
        <f>L53*Assumptions!$C$8</f>
        <v>140275976.58900002</v>
      </c>
      <c r="M63" s="4">
        <f>M53*Assumptions!$C$8</f>
        <v>148513218.51537001</v>
      </c>
    </row>
    <row r="64" spans="2:15" x14ac:dyDescent="0.25">
      <c r="B64" s="3" t="s">
        <v>17</v>
      </c>
      <c r="H64" s="4">
        <f>H54*Assumptions!$C$8</f>
        <v>108210000</v>
      </c>
      <c r="I64" s="4">
        <f>I54*Assumptions!$C$8</f>
        <v>123678000</v>
      </c>
      <c r="J64" s="4">
        <f>J54*Assumptions!$C$8</f>
        <v>137629740</v>
      </c>
      <c r="K64" s="4">
        <f>K54*Assumptions!$C$8</f>
        <v>144977032.20000002</v>
      </c>
      <c r="L64" s="4">
        <f>L54*Assumptions!$C$8</f>
        <v>147904943.16600001</v>
      </c>
      <c r="M64" s="4">
        <f>M54*Assumptions!$C$8</f>
        <v>152342091.46098</v>
      </c>
    </row>
    <row r="65" spans="2:15" x14ac:dyDescent="0.25">
      <c r="B65" s="3" t="s">
        <v>18</v>
      </c>
      <c r="H65" s="4">
        <f>H55*Assumptions!$C$8</f>
        <v>131380740</v>
      </c>
      <c r="I65" s="4">
        <f>I55*Assumptions!$C$8</f>
        <v>193950000</v>
      </c>
      <c r="J65" s="4">
        <f>J55*Assumptions!$C$8</f>
        <v>254336400</v>
      </c>
      <c r="K65" s="4">
        <f>K55*Assumptions!$C$8</f>
        <v>242806113</v>
      </c>
      <c r="L65" s="4">
        <f>L55*Assumptions!$C$8</f>
        <v>260053474.57200006</v>
      </c>
      <c r="M65" s="4">
        <f>M55*Assumptions!$C$8</f>
        <v>235577660.21495998</v>
      </c>
    </row>
    <row r="67" spans="2:15" x14ac:dyDescent="0.25">
      <c r="B67" s="11" t="s">
        <v>19</v>
      </c>
      <c r="C67" s="12"/>
      <c r="D67" s="12"/>
      <c r="E67" s="12"/>
      <c r="F67" s="12"/>
      <c r="G67" s="12"/>
      <c r="H67" s="12">
        <f>SUM(H61:H66)</f>
        <v>355787040</v>
      </c>
      <c r="I67" s="12">
        <f t="shared" ref="I67:M67" si="15">SUM(I61:I66)</f>
        <v>435910500</v>
      </c>
      <c r="J67" s="12">
        <f t="shared" si="15"/>
        <v>508928457</v>
      </c>
      <c r="K67" s="12">
        <f t="shared" si="15"/>
        <v>513328127.61000001</v>
      </c>
      <c r="L67" s="12">
        <f t="shared" si="15"/>
        <v>568514205.44730008</v>
      </c>
      <c r="M67" s="12">
        <f t="shared" si="15"/>
        <v>555538369.69017899</v>
      </c>
      <c r="O67" s="1" t="s">
        <v>71</v>
      </c>
    </row>
    <row r="70" spans="2:15" x14ac:dyDescent="0.25">
      <c r="B70" s="11" t="s">
        <v>41</v>
      </c>
      <c r="C70" s="12"/>
      <c r="D70" s="12"/>
      <c r="E70" s="12"/>
      <c r="F70" s="12"/>
      <c r="G70" s="12"/>
      <c r="H70" s="12">
        <f t="shared" ref="H70:M70" si="16">H67-H44</f>
        <v>-45119960</v>
      </c>
      <c r="I70" s="12">
        <f t="shared" si="16"/>
        <v>-175474500</v>
      </c>
      <c r="J70" s="12">
        <f t="shared" si="16"/>
        <v>-51660373</v>
      </c>
      <c r="K70" s="12">
        <f t="shared" si="16"/>
        <v>-240866743.28999996</v>
      </c>
      <c r="L70" s="12">
        <f t="shared" si="16"/>
        <v>35109354.940300107</v>
      </c>
      <c r="M70" s="12">
        <f t="shared" si="16"/>
        <v>-106239425.92243087</v>
      </c>
    </row>
    <row r="72" spans="2:15" x14ac:dyDescent="0.25">
      <c r="B72" s="40" t="s">
        <v>56</v>
      </c>
      <c r="H72" s="4">
        <f t="shared" ref="H72:M72" si="17">H67-H74</f>
        <v>0</v>
      </c>
      <c r="I72" s="4">
        <f t="shared" si="17"/>
        <v>0</v>
      </c>
      <c r="J72" s="4">
        <f t="shared" si="17"/>
        <v>0</v>
      </c>
      <c r="K72" s="4">
        <f t="shared" si="17"/>
        <v>0</v>
      </c>
      <c r="L72" s="4">
        <f t="shared" si="17"/>
        <v>0</v>
      </c>
      <c r="M72" s="4">
        <f t="shared" si="17"/>
        <v>0</v>
      </c>
    </row>
    <row r="74" spans="2:15" x14ac:dyDescent="0.25">
      <c r="B74" s="40" t="s">
        <v>57</v>
      </c>
      <c r="H74" s="38">
        <v>355787040</v>
      </c>
      <c r="I74" s="38">
        <v>435910500</v>
      </c>
      <c r="J74" s="38">
        <v>508928457</v>
      </c>
      <c r="K74" s="38">
        <v>513328127.61000001</v>
      </c>
      <c r="L74" s="38">
        <v>568514205.44730008</v>
      </c>
      <c r="M74" s="38">
        <v>555538369.69017899</v>
      </c>
    </row>
    <row r="75" spans="2:15" x14ac:dyDescent="0.25">
      <c r="B75" s="2"/>
    </row>
    <row r="76" spans="2:15" x14ac:dyDescent="0.25">
      <c r="B76" s="3"/>
    </row>
    <row r="77" spans="2:15" x14ac:dyDescent="0.25">
      <c r="B77" s="14"/>
    </row>
    <row r="78" spans="2:15" x14ac:dyDescent="0.25">
      <c r="B78" s="14"/>
    </row>
    <row r="79" spans="2:15" x14ac:dyDescent="0.25">
      <c r="B79" s="3"/>
    </row>
    <row r="80" spans="2:15" x14ac:dyDescent="0.25">
      <c r="B80" s="3"/>
    </row>
    <row r="81" spans="2:2" x14ac:dyDescent="0.25">
      <c r="B8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979E9-B76B-4080-BEC5-63DB9FDB348D}">
  <sheetPr>
    <tabColor theme="8" tint="-0.249977111117893"/>
  </sheetPr>
  <dimension ref="B2:O4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9" sqref="O29"/>
    </sheetView>
  </sheetViews>
  <sheetFormatPr defaultColWidth="9.140625" defaultRowHeight="15" x14ac:dyDescent="0.25"/>
  <cols>
    <col min="1" max="1" width="9.140625" style="1"/>
    <col min="2" max="2" width="34.5703125" style="1" customWidth="1"/>
    <col min="3" max="8" width="12.5703125" style="1" customWidth="1"/>
    <col min="9" max="13" width="13.7109375" style="1" bestFit="1" customWidth="1"/>
    <col min="14" max="16384" width="9.140625" style="1"/>
  </cols>
  <sheetData>
    <row r="2" spans="2:15" x14ac:dyDescent="0.25">
      <c r="B2" s="9" t="str">
        <f ca="1">MID(CELL("filename",A1),FIND("]",CELL("filename",A1))+1,256)</f>
        <v>Water Master Plan</v>
      </c>
      <c r="C2" s="41">
        <f t="shared" ref="C2:F2" si="0">+D2-1</f>
        <v>2015</v>
      </c>
      <c r="D2" s="41">
        <f t="shared" si="0"/>
        <v>2016</v>
      </c>
      <c r="E2" s="41">
        <f t="shared" si="0"/>
        <v>2017</v>
      </c>
      <c r="F2" s="41">
        <f t="shared" si="0"/>
        <v>2018</v>
      </c>
      <c r="G2" s="41">
        <v>2019</v>
      </c>
      <c r="H2" s="41">
        <f>+G2+1</f>
        <v>2020</v>
      </c>
      <c r="I2" s="41">
        <f t="shared" ref="I2:M2" si="1">+H2+1</f>
        <v>2021</v>
      </c>
      <c r="J2" s="41">
        <f t="shared" si="1"/>
        <v>2022</v>
      </c>
      <c r="K2" s="41">
        <f t="shared" si="1"/>
        <v>2023</v>
      </c>
      <c r="L2" s="41">
        <f t="shared" si="1"/>
        <v>2024</v>
      </c>
      <c r="M2" s="41">
        <f t="shared" si="1"/>
        <v>2025</v>
      </c>
    </row>
    <row r="4" spans="2:15" x14ac:dyDescent="0.25">
      <c r="B4" s="2" t="s">
        <v>20</v>
      </c>
    </row>
    <row r="5" spans="2:15" x14ac:dyDescent="0.25">
      <c r="B5" s="3" t="s">
        <v>16</v>
      </c>
      <c r="C5" s="39"/>
      <c r="D5" s="39"/>
      <c r="E5" s="39"/>
      <c r="F5" s="39"/>
      <c r="G5" s="39">
        <v>0</v>
      </c>
      <c r="H5" s="39">
        <v>0</v>
      </c>
      <c r="I5" s="39">
        <v>0</v>
      </c>
      <c r="J5" s="39">
        <v>2800000</v>
      </c>
      <c r="K5" s="39">
        <v>69100000</v>
      </c>
      <c r="L5" s="39">
        <v>9400000</v>
      </c>
      <c r="M5" s="39"/>
      <c r="O5" s="1" t="s">
        <v>9</v>
      </c>
    </row>
    <row r="6" spans="2:15" x14ac:dyDescent="0.25">
      <c r="B6" s="3" t="s">
        <v>18</v>
      </c>
    </row>
    <row r="7" spans="2:15" x14ac:dyDescent="0.25">
      <c r="B7" s="14" t="s">
        <v>22</v>
      </c>
      <c r="C7" s="39"/>
      <c r="D7" s="39"/>
      <c r="E7" s="39"/>
      <c r="F7" s="39"/>
      <c r="G7" s="39">
        <v>50000000</v>
      </c>
      <c r="H7" s="39">
        <v>50000000</v>
      </c>
      <c r="I7" s="39">
        <f>128000000-53000000</f>
        <v>75000000</v>
      </c>
      <c r="J7" s="39">
        <v>149215000</v>
      </c>
      <c r="K7" s="39">
        <v>196515000</v>
      </c>
      <c r="L7" s="39">
        <v>80215000</v>
      </c>
      <c r="M7" s="39">
        <v>241215000</v>
      </c>
      <c r="O7" s="1" t="s">
        <v>9</v>
      </c>
    </row>
    <row r="8" spans="2:15" x14ac:dyDescent="0.25">
      <c r="B8" s="14" t="s">
        <v>21</v>
      </c>
      <c r="C8" s="39"/>
      <c r="D8" s="39"/>
      <c r="E8" s="39"/>
      <c r="F8" s="39"/>
      <c r="G8" s="39"/>
      <c r="H8" s="39"/>
      <c r="I8" s="39">
        <v>53000000</v>
      </c>
      <c r="J8" s="39"/>
      <c r="K8" s="39"/>
      <c r="L8" s="39"/>
      <c r="M8" s="39"/>
      <c r="O8" s="1" t="s">
        <v>9</v>
      </c>
    </row>
    <row r="9" spans="2:15" ht="3" customHeight="1" x14ac:dyDescent="0.25">
      <c r="B9" s="3"/>
    </row>
    <row r="10" spans="2:15" x14ac:dyDescent="0.25">
      <c r="B10" s="15" t="s">
        <v>2</v>
      </c>
      <c r="C10" s="4">
        <f t="shared" ref="C10:M10" si="2">SUM(C7:C9)</f>
        <v>0</v>
      </c>
      <c r="D10" s="4">
        <f t="shared" si="2"/>
        <v>0</v>
      </c>
      <c r="E10" s="4">
        <f t="shared" si="2"/>
        <v>0</v>
      </c>
      <c r="F10" s="4">
        <f t="shared" si="2"/>
        <v>0</v>
      </c>
      <c r="G10" s="4">
        <f t="shared" si="2"/>
        <v>50000000</v>
      </c>
      <c r="H10" s="4">
        <f t="shared" si="2"/>
        <v>50000000</v>
      </c>
      <c r="I10" s="4">
        <f t="shared" si="2"/>
        <v>128000000</v>
      </c>
      <c r="J10" s="4">
        <f t="shared" si="2"/>
        <v>149215000</v>
      </c>
      <c r="K10" s="4">
        <f t="shared" si="2"/>
        <v>196515000</v>
      </c>
      <c r="L10" s="4">
        <f t="shared" si="2"/>
        <v>80215000</v>
      </c>
      <c r="M10" s="4">
        <f t="shared" si="2"/>
        <v>241215000</v>
      </c>
    </row>
    <row r="12" spans="2:15" x14ac:dyDescent="0.25">
      <c r="B12" s="11" t="s">
        <v>19</v>
      </c>
      <c r="C12" s="12">
        <f t="shared" ref="C12:M12" si="3">+C10+C5</f>
        <v>0</v>
      </c>
      <c r="D12" s="12">
        <f t="shared" si="3"/>
        <v>0</v>
      </c>
      <c r="E12" s="12">
        <f t="shared" si="3"/>
        <v>0</v>
      </c>
      <c r="F12" s="12">
        <f t="shared" si="3"/>
        <v>0</v>
      </c>
      <c r="G12" s="12">
        <f t="shared" si="3"/>
        <v>50000000</v>
      </c>
      <c r="H12" s="12">
        <f t="shared" si="3"/>
        <v>50000000</v>
      </c>
      <c r="I12" s="12">
        <f t="shared" si="3"/>
        <v>128000000</v>
      </c>
      <c r="J12" s="12">
        <f t="shared" si="3"/>
        <v>152015000</v>
      </c>
      <c r="K12" s="12">
        <f t="shared" si="3"/>
        <v>265615000</v>
      </c>
      <c r="L12" s="12">
        <f t="shared" si="3"/>
        <v>89615000</v>
      </c>
      <c r="M12" s="12">
        <f t="shared" si="3"/>
        <v>241215000</v>
      </c>
    </row>
    <row r="14" spans="2:15" x14ac:dyDescent="0.25">
      <c r="B14" s="2" t="s">
        <v>23</v>
      </c>
    </row>
    <row r="15" spans="2:15" x14ac:dyDescent="0.25">
      <c r="B15" s="3" t="s">
        <v>16</v>
      </c>
      <c r="C15" s="4">
        <f>ROUND(IF(C$2&gt;Assumptions!$C$6,C5*((1+Assumptions!$C$4)^(C$2-Assumptions!$C$6)),C5),-3)</f>
        <v>0</v>
      </c>
      <c r="D15" s="4">
        <f>ROUND(IF(D$2&gt;Assumptions!$C$6,D5*((1+Assumptions!$C$4)^(D$2-Assumptions!$C$6)),D5),-3)</f>
        <v>0</v>
      </c>
      <c r="E15" s="4">
        <f>ROUND(IF(E$2&gt;Assumptions!$C$6,E5*((1+Assumptions!$C$4)^(E$2-Assumptions!$C$6)),E5),-3)</f>
        <v>0</v>
      </c>
      <c r="F15" s="4">
        <f>ROUND(IF(F$2&gt;Assumptions!$C$6,F5*((1+Assumptions!$C$4)^(F$2-Assumptions!$C$6)),F5),-3)</f>
        <v>0</v>
      </c>
      <c r="G15" s="4">
        <f>ROUND(IF(G$2&gt;Assumptions!$C$6,G5*((1+Assumptions!$C$4)^(G$2-Assumptions!$C$6)),G5),-3)</f>
        <v>0</v>
      </c>
      <c r="H15" s="4">
        <f>ROUND(IF(H$2&gt;Assumptions!$C$6,H5*((1+Assumptions!$C$4)^(H$2-Assumptions!$C$6)),H5),-3)</f>
        <v>0</v>
      </c>
      <c r="I15" s="4">
        <f>ROUND(IF(I$2&gt;Assumptions!$C$6,I5*((1+Assumptions!$C$4)^(I$2-Assumptions!$C$6)),I5),-3)</f>
        <v>0</v>
      </c>
      <c r="J15" s="4">
        <f>ROUND(IF(J$2&gt;Assumptions!$C$6,J5*((1+Assumptions!$C$4)^(J$2-Assumptions!$C$6)),J5),-3)</f>
        <v>2884000</v>
      </c>
      <c r="K15" s="4">
        <f>ROUND(IF(K$2&gt;Assumptions!$C$6,K5*((1+Assumptions!$C$4)^(K$2-Assumptions!$C$6)),K5),-3)</f>
        <v>73308000</v>
      </c>
      <c r="L15" s="4">
        <f>ROUND(IF(L$2&gt;Assumptions!$C$6,L5*((1+Assumptions!$C$4)^(L$2-Assumptions!$C$6)),L5),-3)</f>
        <v>10272000</v>
      </c>
      <c r="M15" s="4">
        <f>ROUND(IF(M$2&gt;Assumptions!$C$6,M5*((1+Assumptions!$C$4)^(M$2-Assumptions!$C$6)),M5),-3)</f>
        <v>0</v>
      </c>
      <c r="O15" s="1" t="s">
        <v>9</v>
      </c>
    </row>
    <row r="16" spans="2:15" x14ac:dyDescent="0.25">
      <c r="B16" s="3" t="s">
        <v>18</v>
      </c>
    </row>
    <row r="17" spans="2:15" x14ac:dyDescent="0.25">
      <c r="B17" s="14" t="s">
        <v>22</v>
      </c>
      <c r="C17" s="4">
        <f>ROUND(IF(C$2&gt;Assumptions!$C$6,C7*((1+Assumptions!$C$4)^(C$2-Assumptions!$C$6)),C7),-3)</f>
        <v>0</v>
      </c>
      <c r="D17" s="4">
        <f>ROUND(IF(D$2&gt;Assumptions!$C$6,D7*((1+Assumptions!$C$4)^(D$2-Assumptions!$C$6)),D7),-3)</f>
        <v>0</v>
      </c>
      <c r="E17" s="4">
        <f>ROUND(IF(E$2&gt;Assumptions!$C$6,E7*((1+Assumptions!$C$4)^(E$2-Assumptions!$C$6)),E7),-3)</f>
        <v>0</v>
      </c>
      <c r="F17" s="4">
        <f>ROUND(IF(F$2&gt;Assumptions!$C$6,F7*((1+Assumptions!$C$4)^(F$2-Assumptions!$C$6)),F7),-3)</f>
        <v>0</v>
      </c>
      <c r="G17" s="4">
        <f>ROUND(IF(G$2&gt;Assumptions!$C$6,G7*((1+Assumptions!$C$4)^(G$2-Assumptions!$C$6)),G7),-3)</f>
        <v>50000000</v>
      </c>
      <c r="H17" s="4">
        <f>ROUND(IF(H$2&gt;Assumptions!$C$6,H7*((1+Assumptions!$C$4)^(H$2-Assumptions!$C$6)),H7),-3)</f>
        <v>50000000</v>
      </c>
      <c r="I17" s="4">
        <f>ROUND(IF(I$2&gt;Assumptions!$C$6,I7*((1+Assumptions!$C$4)^(I$2-Assumptions!$C$6)),I7),-3)</f>
        <v>75000000</v>
      </c>
      <c r="J17" s="4">
        <f>ROUND(IF(J$2&gt;Assumptions!$C$6,J7*((1+Assumptions!$C$4)^(J$2-Assumptions!$C$6)),J7),-3)</f>
        <v>153691000</v>
      </c>
      <c r="K17" s="4">
        <f>ROUND(IF(K$2&gt;Assumptions!$C$6,K7*((1+Assumptions!$C$4)^(K$2-Assumptions!$C$6)),K7),-3)</f>
        <v>208483000</v>
      </c>
      <c r="L17" s="4">
        <f>ROUND(IF(L$2&gt;Assumptions!$C$6,L7*((1+Assumptions!$C$4)^(L$2-Assumptions!$C$6)),L7),-3)</f>
        <v>87653000</v>
      </c>
      <c r="M17" s="4">
        <f>ROUND(IF(M$2&gt;Assumptions!$C$6,M7*((1+Assumptions!$C$4)^(M$2-Assumptions!$C$6)),M7),-3)</f>
        <v>271490000</v>
      </c>
      <c r="O17" s="1" t="s">
        <v>9</v>
      </c>
    </row>
    <row r="18" spans="2:15" x14ac:dyDescent="0.25">
      <c r="B18" s="14" t="s">
        <v>21</v>
      </c>
      <c r="C18" s="4">
        <f>ROUND(IF(C$2&gt;Assumptions!$C$6,C8*((1+Assumptions!$C$4)^(C$2-Assumptions!$C$6)),C8),-3)</f>
        <v>0</v>
      </c>
      <c r="D18" s="4">
        <f>ROUND(IF(D$2&gt;Assumptions!$C$6,D8*((1+Assumptions!$C$4)^(D$2-Assumptions!$C$6)),D8),-3)</f>
        <v>0</v>
      </c>
      <c r="E18" s="4">
        <f>ROUND(IF(E$2&gt;Assumptions!$C$6,E8*((1+Assumptions!$C$4)^(E$2-Assumptions!$C$6)),E8),-3)</f>
        <v>0</v>
      </c>
      <c r="F18" s="4">
        <f>ROUND(IF(F$2&gt;Assumptions!$C$6,F8*((1+Assumptions!$C$4)^(F$2-Assumptions!$C$6)),F8),-3)</f>
        <v>0</v>
      </c>
      <c r="G18" s="4">
        <f>ROUND(IF(G$2&gt;Assumptions!$C$6,G8*((1+Assumptions!$C$4)^(G$2-Assumptions!$C$6)),G8),-3)</f>
        <v>0</v>
      </c>
      <c r="H18" s="4">
        <f>ROUND(IF(H$2&gt;Assumptions!$C$6,H8*((1+Assumptions!$C$4)^(H$2-Assumptions!$C$6)),H8),-3)</f>
        <v>0</v>
      </c>
      <c r="I18" s="4">
        <f>ROUND(IF(I$2&gt;Assumptions!$C$6,I8*((1+Assumptions!$C$4)^(I$2-Assumptions!$C$6)),I8),-3)</f>
        <v>53000000</v>
      </c>
      <c r="J18" s="4">
        <f>ROUND(IF(J$2&gt;Assumptions!$C$6,J8*((1+Assumptions!$C$4)^(J$2-Assumptions!$C$6)),J8),-3)</f>
        <v>0</v>
      </c>
      <c r="K18" s="4">
        <f>ROUND(IF(K$2&gt;Assumptions!$C$6,K8*((1+Assumptions!$C$4)^(K$2-Assumptions!$C$6)),K8),-3)</f>
        <v>0</v>
      </c>
      <c r="L18" s="4">
        <f>ROUND(IF(L$2&gt;Assumptions!$C$6,L8*((1+Assumptions!$C$4)^(L$2-Assumptions!$C$6)),L8),-3)</f>
        <v>0</v>
      </c>
      <c r="M18" s="4">
        <f>ROUND(IF(M$2&gt;Assumptions!$C$6,M8*((1+Assumptions!$C$4)^(M$2-Assumptions!$C$6)),M8),-3)</f>
        <v>0</v>
      </c>
      <c r="O18" s="1" t="s">
        <v>9</v>
      </c>
    </row>
    <row r="19" spans="2:15" ht="3" customHeight="1" x14ac:dyDescent="0.25">
      <c r="B19" s="3"/>
    </row>
    <row r="20" spans="2:15" x14ac:dyDescent="0.25">
      <c r="B20" s="15" t="s">
        <v>2</v>
      </c>
      <c r="C20" s="4">
        <f t="shared" ref="C20:M20" si="4">SUM(C17:C19)</f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50000000</v>
      </c>
      <c r="H20" s="4">
        <f t="shared" si="4"/>
        <v>50000000</v>
      </c>
      <c r="I20" s="4">
        <f t="shared" si="4"/>
        <v>128000000</v>
      </c>
      <c r="J20" s="4">
        <f t="shared" si="4"/>
        <v>153691000</v>
      </c>
      <c r="K20" s="4">
        <f t="shared" si="4"/>
        <v>208483000</v>
      </c>
      <c r="L20" s="4">
        <f t="shared" si="4"/>
        <v>87653000</v>
      </c>
      <c r="M20" s="4">
        <f t="shared" si="4"/>
        <v>271490000</v>
      </c>
    </row>
    <row r="22" spans="2:15" x14ac:dyDescent="0.25">
      <c r="B22" s="11" t="s">
        <v>19</v>
      </c>
      <c r="C22" s="12">
        <f t="shared" ref="C22:M22" si="5">+C20+C15</f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50000000</v>
      </c>
      <c r="H22" s="12">
        <f t="shared" si="5"/>
        <v>50000000</v>
      </c>
      <c r="I22" s="12">
        <f t="shared" si="5"/>
        <v>128000000</v>
      </c>
      <c r="J22" s="12">
        <f t="shared" si="5"/>
        <v>156575000</v>
      </c>
      <c r="K22" s="12">
        <f t="shared" si="5"/>
        <v>281791000</v>
      </c>
      <c r="L22" s="12">
        <f t="shared" si="5"/>
        <v>97925000</v>
      </c>
      <c r="M22" s="12">
        <f t="shared" si="5"/>
        <v>271490000</v>
      </c>
    </row>
    <row r="23" spans="2:15" x14ac:dyDescent="0.25">
      <c r="G23" s="5"/>
      <c r="H23" s="5"/>
      <c r="I23" s="5"/>
      <c r="J23" s="5"/>
      <c r="K23" s="5"/>
      <c r="L23" s="5"/>
      <c r="M23" s="5"/>
    </row>
    <row r="25" spans="2:15" x14ac:dyDescent="0.25">
      <c r="B25" s="2" t="s">
        <v>24</v>
      </c>
    </row>
    <row r="26" spans="2:15" x14ac:dyDescent="0.25">
      <c r="B26" s="3" t="s">
        <v>16</v>
      </c>
      <c r="C26" s="39"/>
      <c r="D26" s="39"/>
      <c r="E26" s="39"/>
      <c r="F26" s="39"/>
      <c r="G26" s="39">
        <v>0</v>
      </c>
      <c r="H26" s="39">
        <v>0</v>
      </c>
      <c r="I26" s="39">
        <v>0</v>
      </c>
      <c r="J26" s="39">
        <v>2800000</v>
      </c>
      <c r="K26" s="39">
        <v>4950000</v>
      </c>
      <c r="L26" s="39">
        <v>33650000</v>
      </c>
      <c r="M26" s="39">
        <v>35200000</v>
      </c>
      <c r="O26" s="1" t="s">
        <v>9</v>
      </c>
    </row>
    <row r="27" spans="2:15" x14ac:dyDescent="0.25">
      <c r="B27" s="3" t="s">
        <v>18</v>
      </c>
    </row>
    <row r="28" spans="2:15" x14ac:dyDescent="0.25">
      <c r="B28" s="14" t="s">
        <v>22</v>
      </c>
      <c r="C28" s="39"/>
      <c r="D28" s="39"/>
      <c r="E28" s="39"/>
      <c r="F28" s="39"/>
      <c r="G28" s="39">
        <v>50000000</v>
      </c>
      <c r="H28" s="39">
        <v>50000000</v>
      </c>
      <c r="I28" s="39">
        <f>101500000-26500000</f>
        <v>75000000</v>
      </c>
      <c r="J28" s="39">
        <f>163048000-26500000</f>
        <v>136548000</v>
      </c>
      <c r="K28" s="39">
        <v>136848000</v>
      </c>
      <c r="L28" s="39">
        <v>141215000</v>
      </c>
      <c r="M28" s="39">
        <v>113381000</v>
      </c>
      <c r="O28" s="1" t="s">
        <v>9</v>
      </c>
    </row>
    <row r="29" spans="2:15" x14ac:dyDescent="0.25">
      <c r="B29" s="14" t="s">
        <v>21</v>
      </c>
      <c r="C29" s="39"/>
      <c r="D29" s="39"/>
      <c r="E29" s="39"/>
      <c r="F29" s="39"/>
      <c r="G29" s="39"/>
      <c r="H29" s="39"/>
      <c r="I29" s="39">
        <v>26500000</v>
      </c>
      <c r="J29" s="39">
        <v>26500000</v>
      </c>
      <c r="K29" s="39"/>
      <c r="L29" s="39"/>
      <c r="M29" s="39"/>
      <c r="O29" s="1" t="s">
        <v>9</v>
      </c>
    </row>
    <row r="30" spans="2:15" ht="3" customHeight="1" x14ac:dyDescent="0.25">
      <c r="B30" s="3"/>
    </row>
    <row r="31" spans="2:15" x14ac:dyDescent="0.25">
      <c r="B31" s="14" t="s">
        <v>2</v>
      </c>
      <c r="C31" s="4">
        <f t="shared" ref="C31:M31" si="6">SUM(C28:C30)</f>
        <v>0</v>
      </c>
      <c r="D31" s="4">
        <f t="shared" si="6"/>
        <v>0</v>
      </c>
      <c r="E31" s="4">
        <f t="shared" si="6"/>
        <v>0</v>
      </c>
      <c r="F31" s="4">
        <f t="shared" si="6"/>
        <v>0</v>
      </c>
      <c r="G31" s="4">
        <f t="shared" si="6"/>
        <v>50000000</v>
      </c>
      <c r="H31" s="4">
        <f t="shared" si="6"/>
        <v>50000000</v>
      </c>
      <c r="I31" s="4">
        <f t="shared" si="6"/>
        <v>101500000</v>
      </c>
      <c r="J31" s="4">
        <f t="shared" si="6"/>
        <v>163048000</v>
      </c>
      <c r="K31" s="4">
        <f t="shared" si="6"/>
        <v>136848000</v>
      </c>
      <c r="L31" s="4">
        <f t="shared" si="6"/>
        <v>141215000</v>
      </c>
      <c r="M31" s="4">
        <f t="shared" si="6"/>
        <v>113381000</v>
      </c>
    </row>
    <row r="33" spans="2:15" x14ac:dyDescent="0.25">
      <c r="B33" s="11" t="s">
        <v>19</v>
      </c>
      <c r="C33" s="12">
        <f t="shared" ref="C33:M33" si="7">+C31+C26</f>
        <v>0</v>
      </c>
      <c r="D33" s="12">
        <f t="shared" si="7"/>
        <v>0</v>
      </c>
      <c r="E33" s="12">
        <f t="shared" si="7"/>
        <v>0</v>
      </c>
      <c r="F33" s="12">
        <f t="shared" si="7"/>
        <v>0</v>
      </c>
      <c r="G33" s="12">
        <f t="shared" si="7"/>
        <v>50000000</v>
      </c>
      <c r="H33" s="12">
        <f t="shared" si="7"/>
        <v>50000000</v>
      </c>
      <c r="I33" s="12">
        <f t="shared" si="7"/>
        <v>101500000</v>
      </c>
      <c r="J33" s="12">
        <f t="shared" si="7"/>
        <v>165848000</v>
      </c>
      <c r="K33" s="12">
        <f t="shared" si="7"/>
        <v>141798000</v>
      </c>
      <c r="L33" s="12">
        <f t="shared" si="7"/>
        <v>174865000</v>
      </c>
      <c r="M33" s="12">
        <f t="shared" si="7"/>
        <v>148581000</v>
      </c>
    </row>
    <row r="35" spans="2:15" x14ac:dyDescent="0.25">
      <c r="B35" s="2" t="s">
        <v>25</v>
      </c>
    </row>
    <row r="36" spans="2:15" x14ac:dyDescent="0.25">
      <c r="B36" s="3" t="s">
        <v>16</v>
      </c>
      <c r="C36" s="4">
        <f>ROUND(IF(C$2&gt;Assumptions!$C$6,C26*((1+Assumptions!$C$4)^(C$2-Assumptions!$C$6)),C26),-3)</f>
        <v>0</v>
      </c>
      <c r="D36" s="4">
        <f>ROUND(IF(D$2&gt;Assumptions!$C$6,D26*((1+Assumptions!$C$4)^(D$2-Assumptions!$C$6)),D26),-3)</f>
        <v>0</v>
      </c>
      <c r="E36" s="4">
        <f>ROUND(IF(E$2&gt;Assumptions!$C$6,E26*((1+Assumptions!$C$4)^(E$2-Assumptions!$C$6)),E26),-3)</f>
        <v>0</v>
      </c>
      <c r="F36" s="4">
        <f>ROUND(IF(F$2&gt;Assumptions!$C$6,F26*((1+Assumptions!$C$4)^(F$2-Assumptions!$C$6)),F26),-3)</f>
        <v>0</v>
      </c>
      <c r="G36" s="4">
        <f>ROUND(IF(G$2&gt;Assumptions!$C$6,G26*((1+Assumptions!$C$4)^(G$2-Assumptions!$C$6)),G26),-3)</f>
        <v>0</v>
      </c>
      <c r="H36" s="4">
        <f>ROUND(IF(H$2&gt;Assumptions!$C$6,H26*((1+Assumptions!$C$4)^(H$2-Assumptions!$C$6)),H26),-3)</f>
        <v>0</v>
      </c>
      <c r="I36" s="4">
        <f>ROUND(IF(I$2&gt;Assumptions!$C$6,I26*((1+Assumptions!$C$4)^(I$2-Assumptions!$C$6)),I26),-3)</f>
        <v>0</v>
      </c>
      <c r="J36" s="4">
        <f>ROUND(IF(J$2&gt;Assumptions!$C$6,J26*((1+Assumptions!$C$4)^(J$2-Assumptions!$C$6)),J26),-3)</f>
        <v>2884000</v>
      </c>
      <c r="K36" s="4">
        <f>ROUND(IF(K$2&gt;Assumptions!$C$6,K26*((1+Assumptions!$C$4)^(K$2-Assumptions!$C$6)),K26),-3)</f>
        <v>5251000</v>
      </c>
      <c r="L36" s="4">
        <f>ROUND(IF(L$2&gt;Assumptions!$C$6,L26*((1+Assumptions!$C$4)^(L$2-Assumptions!$C$6)),L26),-3)</f>
        <v>36770000</v>
      </c>
      <c r="M36" s="4">
        <f>ROUND(IF(M$2&gt;Assumptions!$C$6,M26*((1+Assumptions!$C$4)^(M$2-Assumptions!$C$6)),M26),-3)</f>
        <v>39618000</v>
      </c>
      <c r="O36" s="1" t="s">
        <v>9</v>
      </c>
    </row>
    <row r="37" spans="2:15" x14ac:dyDescent="0.25">
      <c r="B37" s="3" t="s">
        <v>18</v>
      </c>
    </row>
    <row r="38" spans="2:15" x14ac:dyDescent="0.25">
      <c r="B38" s="14" t="s">
        <v>22</v>
      </c>
      <c r="C38" s="4">
        <f>ROUND(IF(C$2&gt;Assumptions!$C$6,C28*((1+Assumptions!$C$4)^(C$2-Assumptions!$C$6)),C28),-3)</f>
        <v>0</v>
      </c>
      <c r="D38" s="4">
        <f>ROUND(IF(D$2&gt;Assumptions!$C$6,D28*((1+Assumptions!$C$4)^(D$2-Assumptions!$C$6)),D28),-3)</f>
        <v>0</v>
      </c>
      <c r="E38" s="4">
        <f>ROUND(IF(E$2&gt;Assumptions!$C$6,E28*((1+Assumptions!$C$4)^(E$2-Assumptions!$C$6)),E28),-3)</f>
        <v>0</v>
      </c>
      <c r="F38" s="4">
        <f>ROUND(IF(F$2&gt;Assumptions!$C$6,F28*((1+Assumptions!$C$4)^(F$2-Assumptions!$C$6)),F28),-3)</f>
        <v>0</v>
      </c>
      <c r="G38" s="4">
        <f>ROUND(IF(G$2&gt;Assumptions!$C$6,G28*((1+Assumptions!$C$4)^(G$2-Assumptions!$C$6)),G28),-3)</f>
        <v>50000000</v>
      </c>
      <c r="H38" s="4">
        <f>ROUND(IF(H$2&gt;Assumptions!$C$6,H28*((1+Assumptions!$C$4)^(H$2-Assumptions!$C$6)),H28),-3)</f>
        <v>50000000</v>
      </c>
      <c r="I38" s="4">
        <f>ROUND(IF(I$2&gt;Assumptions!$C$6,I28*((1+Assumptions!$C$4)^(I$2-Assumptions!$C$6)),I28),-3)</f>
        <v>75000000</v>
      </c>
      <c r="J38" s="4">
        <f>ROUND(IF(J$2&gt;Assumptions!$C$6,J28*((1+Assumptions!$C$4)^(J$2-Assumptions!$C$6)),J28),-3)</f>
        <v>140644000</v>
      </c>
      <c r="K38" s="4">
        <f>ROUND(IF(K$2&gt;Assumptions!$C$6,K28*((1+Assumptions!$C$4)^(K$2-Assumptions!$C$6)),K28),-3)</f>
        <v>145182000</v>
      </c>
      <c r="L38" s="4">
        <f>ROUND(IF(L$2&gt;Assumptions!$C$6,L28*((1+Assumptions!$C$4)^(L$2-Assumptions!$C$6)),L28),-3)</f>
        <v>154309000</v>
      </c>
      <c r="M38" s="4">
        <f>ROUND(IF(M$2&gt;Assumptions!$C$6,M28*((1+Assumptions!$C$4)^(M$2-Assumptions!$C$6)),M28),-3)</f>
        <v>127611000</v>
      </c>
      <c r="O38" s="1" t="s">
        <v>9</v>
      </c>
    </row>
    <row r="39" spans="2:15" x14ac:dyDescent="0.25">
      <c r="B39" s="14" t="s">
        <v>21</v>
      </c>
      <c r="C39" s="4">
        <f>ROUND(IF(C$2&gt;Assumptions!$C$6,C29*((1+Assumptions!$C$4)^(C$2-Assumptions!$C$6)),C29),-3)</f>
        <v>0</v>
      </c>
      <c r="D39" s="4">
        <f>ROUND(IF(D$2&gt;Assumptions!$C$6,D29*((1+Assumptions!$C$4)^(D$2-Assumptions!$C$6)),D29),-3)</f>
        <v>0</v>
      </c>
      <c r="E39" s="4">
        <f>ROUND(IF(E$2&gt;Assumptions!$C$6,E29*((1+Assumptions!$C$4)^(E$2-Assumptions!$C$6)),E29),-3)</f>
        <v>0</v>
      </c>
      <c r="F39" s="4">
        <f>ROUND(IF(F$2&gt;Assumptions!$C$6,F29*((1+Assumptions!$C$4)^(F$2-Assumptions!$C$6)),F29),-3)</f>
        <v>0</v>
      </c>
      <c r="G39" s="4">
        <f>ROUND(IF(G$2&gt;Assumptions!$C$6,G29*((1+Assumptions!$C$4)^(G$2-Assumptions!$C$6)),G29),-3)</f>
        <v>0</v>
      </c>
      <c r="H39" s="4">
        <f>ROUND(IF(H$2&gt;Assumptions!$C$6,H29*((1+Assumptions!$C$4)^(H$2-Assumptions!$C$6)),H29),-3)</f>
        <v>0</v>
      </c>
      <c r="I39" s="4">
        <f>ROUND(IF(I$2&gt;Assumptions!$C$6,I29*((1+Assumptions!$C$4)^(I$2-Assumptions!$C$6)),I29),-3)</f>
        <v>26500000</v>
      </c>
      <c r="J39" s="4">
        <f>ROUND(IF(J$2&gt;Assumptions!$C$6,J29*((1+Assumptions!$C$4)^(J$2-Assumptions!$C$6)),J29),-3)</f>
        <v>27295000</v>
      </c>
      <c r="K39" s="4">
        <f>ROUND(IF(K$2&gt;Assumptions!$C$6,K29*((1+Assumptions!$C$4)^(K$2-Assumptions!$C$6)),K29),-3)</f>
        <v>0</v>
      </c>
      <c r="L39" s="4">
        <f>ROUND(IF(L$2&gt;Assumptions!$C$6,L29*((1+Assumptions!$C$4)^(L$2-Assumptions!$C$6)),L29),-3)</f>
        <v>0</v>
      </c>
      <c r="M39" s="4">
        <f>ROUND(IF(M$2&gt;Assumptions!$C$6,M29*((1+Assumptions!$C$4)^(M$2-Assumptions!$C$6)),M29),-3)</f>
        <v>0</v>
      </c>
      <c r="O39" s="1" t="s">
        <v>9</v>
      </c>
    </row>
    <row r="40" spans="2:15" ht="3" customHeight="1" x14ac:dyDescent="0.25">
      <c r="B40" s="3"/>
    </row>
    <row r="41" spans="2:15" x14ac:dyDescent="0.25">
      <c r="B41" s="14" t="s">
        <v>2</v>
      </c>
      <c r="C41" s="4">
        <f t="shared" ref="C41:M41" si="8">SUM(C38:C40)</f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50000000</v>
      </c>
      <c r="H41" s="4">
        <f t="shared" si="8"/>
        <v>50000000</v>
      </c>
      <c r="I41" s="4">
        <f t="shared" si="8"/>
        <v>101500000</v>
      </c>
      <c r="J41" s="4">
        <f t="shared" si="8"/>
        <v>167939000</v>
      </c>
      <c r="K41" s="4">
        <f t="shared" si="8"/>
        <v>145182000</v>
      </c>
      <c r="L41" s="4">
        <f t="shared" si="8"/>
        <v>154309000</v>
      </c>
      <c r="M41" s="4">
        <f t="shared" si="8"/>
        <v>127611000</v>
      </c>
    </row>
    <row r="43" spans="2:15" x14ac:dyDescent="0.25">
      <c r="B43" s="11" t="s">
        <v>19</v>
      </c>
      <c r="C43" s="12">
        <f t="shared" ref="C43:M43" si="9">+C41+C36</f>
        <v>0</v>
      </c>
      <c r="D43" s="12">
        <f t="shared" si="9"/>
        <v>0</v>
      </c>
      <c r="E43" s="12">
        <f t="shared" si="9"/>
        <v>0</v>
      </c>
      <c r="F43" s="12">
        <f t="shared" si="9"/>
        <v>0</v>
      </c>
      <c r="G43" s="12">
        <f t="shared" si="9"/>
        <v>50000000</v>
      </c>
      <c r="H43" s="12">
        <f t="shared" si="9"/>
        <v>50000000</v>
      </c>
      <c r="I43" s="12">
        <f t="shared" si="9"/>
        <v>101500000</v>
      </c>
      <c r="J43" s="12">
        <f t="shared" si="9"/>
        <v>170823000</v>
      </c>
      <c r="K43" s="12">
        <f t="shared" si="9"/>
        <v>150433000</v>
      </c>
      <c r="L43" s="12">
        <f t="shared" si="9"/>
        <v>191079000</v>
      </c>
      <c r="M43" s="12">
        <f t="shared" si="9"/>
        <v>167229000</v>
      </c>
    </row>
    <row r="48" spans="2:15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3:13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0C43-A307-469A-8A73-6D63409D8503}">
  <sheetPr>
    <tabColor theme="8" tint="0.39997558519241921"/>
  </sheetPr>
  <dimension ref="B2:XEY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7" sqref="O27"/>
    </sheetView>
  </sheetViews>
  <sheetFormatPr defaultColWidth="9.140625" defaultRowHeight="15" x14ac:dyDescent="0.25"/>
  <cols>
    <col min="1" max="1" width="9.140625" style="1"/>
    <col min="2" max="2" width="34.5703125" style="1" customWidth="1"/>
    <col min="3" max="13" width="15.42578125" style="1" customWidth="1"/>
    <col min="14" max="19" width="9.140625" style="1"/>
    <col min="20" max="20" width="12.42578125" style="1" bestFit="1" customWidth="1"/>
    <col min="21" max="21" width="11.85546875" style="1" bestFit="1" customWidth="1"/>
    <col min="22" max="16384" width="9.140625" style="1"/>
  </cols>
  <sheetData>
    <row r="2" spans="2:21" x14ac:dyDescent="0.25">
      <c r="B2" s="9" t="str">
        <f ca="1">MID(CELL("filename",A1),FIND("]",CELL("filename",A1))+1,256)</f>
        <v>Conveyance System</v>
      </c>
      <c r="C2" s="41">
        <f t="shared" ref="C2:F2" si="0">+D2-1</f>
        <v>2015</v>
      </c>
      <c r="D2" s="41">
        <f t="shared" si="0"/>
        <v>2016</v>
      </c>
      <c r="E2" s="41">
        <f t="shared" si="0"/>
        <v>2017</v>
      </c>
      <c r="F2" s="41">
        <f t="shared" si="0"/>
        <v>2018</v>
      </c>
      <c r="G2" s="41">
        <v>2019</v>
      </c>
      <c r="H2" s="41">
        <f>+G2+1</f>
        <v>2020</v>
      </c>
      <c r="I2" s="41">
        <f t="shared" ref="I2:M2" si="1">+H2+1</f>
        <v>2021</v>
      </c>
      <c r="J2" s="41">
        <f t="shared" si="1"/>
        <v>2022</v>
      </c>
      <c r="K2" s="41">
        <f t="shared" si="1"/>
        <v>2023</v>
      </c>
      <c r="L2" s="41">
        <f t="shared" si="1"/>
        <v>2024</v>
      </c>
      <c r="M2" s="41">
        <f t="shared" si="1"/>
        <v>2025</v>
      </c>
    </row>
    <row r="4" spans="2:21" x14ac:dyDescent="0.25">
      <c r="B4" s="2" t="s">
        <v>12</v>
      </c>
      <c r="C4" s="4">
        <f>'PWD CIP'!C$40</f>
        <v>36060000</v>
      </c>
      <c r="D4" s="4">
        <f>'PWD CIP'!D$40</f>
        <v>49060000</v>
      </c>
      <c r="E4" s="4">
        <f>'PWD CIP'!E$40</f>
        <v>51060000</v>
      </c>
      <c r="F4" s="4">
        <f>'PWD CIP'!F$40</f>
        <v>75060000</v>
      </c>
      <c r="G4" s="4">
        <f>'PWD CIP'!G$40</f>
        <v>89060000</v>
      </c>
      <c r="H4" s="4">
        <f>'PWD CIP'!H$40</f>
        <v>113060000</v>
      </c>
      <c r="I4" s="4">
        <f>'PWD CIP'!I$40</f>
        <v>98060000</v>
      </c>
      <c r="J4" s="4">
        <f>'PWD CIP'!J$40</f>
        <v>109241800</v>
      </c>
      <c r="K4" s="4">
        <f>'PWD CIP'!K$40</f>
        <v>187949044</v>
      </c>
      <c r="L4" s="4">
        <f>'PWD CIP'!L$40</f>
        <v>133815348.42</v>
      </c>
      <c r="M4" s="4">
        <f>'PWD CIP'!M$40</f>
        <v>127250026.05859999</v>
      </c>
    </row>
    <row r="5" spans="2:21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1" x14ac:dyDescent="0.25">
      <c r="B6" s="2" t="s">
        <v>26</v>
      </c>
    </row>
    <row r="7" spans="2:21" x14ac:dyDescent="0.25">
      <c r="B7" s="3" t="s">
        <v>0</v>
      </c>
      <c r="C7" s="4">
        <f>+'Water Master Plan'!C15</f>
        <v>0</v>
      </c>
      <c r="D7" s="4">
        <f>+'Water Master Plan'!D15</f>
        <v>0</v>
      </c>
      <c r="E7" s="4">
        <f>+'Water Master Plan'!E15</f>
        <v>0</v>
      </c>
      <c r="F7" s="4">
        <f>+'Water Master Plan'!F15</f>
        <v>0</v>
      </c>
      <c r="G7" s="4">
        <f>+'Water Master Plan'!G15</f>
        <v>0</v>
      </c>
      <c r="H7" s="4">
        <f>+'Water Master Plan'!H15</f>
        <v>0</v>
      </c>
      <c r="I7" s="4">
        <f>+'Water Master Plan'!I15</f>
        <v>0</v>
      </c>
      <c r="J7" s="4">
        <f>+'Water Master Plan'!J15</f>
        <v>2884000</v>
      </c>
      <c r="K7" s="4">
        <f>+'Water Master Plan'!K15</f>
        <v>73308000</v>
      </c>
      <c r="L7" s="4">
        <f>+'Water Master Plan'!L15</f>
        <v>10272000</v>
      </c>
      <c r="M7" s="4">
        <f>+'Water Master Plan'!M15</f>
        <v>0</v>
      </c>
      <c r="T7" s="4"/>
      <c r="U7" s="4"/>
    </row>
    <row r="8" spans="2:21" x14ac:dyDescent="0.2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T8" s="4"/>
      <c r="U8" s="4"/>
    </row>
    <row r="9" spans="2:21" x14ac:dyDescent="0.25">
      <c r="B9" s="3"/>
      <c r="T9" s="4"/>
    </row>
    <row r="10" spans="2:21" x14ac:dyDescent="0.25">
      <c r="B10" s="10" t="s">
        <v>2</v>
      </c>
      <c r="C10" s="4">
        <f t="shared" ref="C10:M10" si="2">SUM(C7:C9)</f>
        <v>0</v>
      </c>
      <c r="D10" s="4">
        <f t="shared" si="2"/>
        <v>0</v>
      </c>
      <c r="E10" s="4">
        <f t="shared" si="2"/>
        <v>0</v>
      </c>
      <c r="F10" s="4">
        <f t="shared" si="2"/>
        <v>0</v>
      </c>
      <c r="G10" s="4">
        <f t="shared" si="2"/>
        <v>0</v>
      </c>
      <c r="H10" s="4">
        <f t="shared" si="2"/>
        <v>0</v>
      </c>
      <c r="I10" s="4">
        <f t="shared" si="2"/>
        <v>0</v>
      </c>
      <c r="J10" s="4">
        <f t="shared" si="2"/>
        <v>2884000</v>
      </c>
      <c r="K10" s="4">
        <f t="shared" si="2"/>
        <v>73308000</v>
      </c>
      <c r="L10" s="4">
        <f t="shared" si="2"/>
        <v>10272000</v>
      </c>
      <c r="M10" s="4">
        <f t="shared" si="2"/>
        <v>0</v>
      </c>
      <c r="T10" s="4"/>
    </row>
    <row r="12" spans="2:21" x14ac:dyDescent="0.25">
      <c r="B12" s="2" t="s">
        <v>27</v>
      </c>
      <c r="C12" s="4">
        <f t="shared" ref="C12:M12" si="3">+C4-C10</f>
        <v>36060000</v>
      </c>
      <c r="D12" s="4">
        <f t="shared" si="3"/>
        <v>49060000</v>
      </c>
      <c r="E12" s="4">
        <f t="shared" si="3"/>
        <v>51060000</v>
      </c>
      <c r="F12" s="4">
        <f t="shared" si="3"/>
        <v>75060000</v>
      </c>
      <c r="G12" s="4">
        <f t="shared" si="3"/>
        <v>89060000</v>
      </c>
      <c r="H12" s="4">
        <f t="shared" si="3"/>
        <v>113060000</v>
      </c>
      <c r="I12" s="4">
        <f t="shared" si="3"/>
        <v>98060000</v>
      </c>
      <c r="J12" s="4">
        <f t="shared" si="3"/>
        <v>106357800</v>
      </c>
      <c r="K12" s="4">
        <f t="shared" si="3"/>
        <v>114641044</v>
      </c>
      <c r="L12" s="4">
        <f t="shared" si="3"/>
        <v>123543348.42</v>
      </c>
      <c r="M12" s="4">
        <f t="shared" si="3"/>
        <v>127250026.05859999</v>
      </c>
    </row>
    <row r="13" spans="2:21" x14ac:dyDescent="0.2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21" x14ac:dyDescent="0.25">
      <c r="B14" s="35" t="s">
        <v>55</v>
      </c>
      <c r="C14" s="37" t="str">
        <f>" Assumed duration of "&amp;FIXED(Assumptions!$C$16,0,0)&amp;" years for "&amp;Assumptions!$B$16&amp;" capital improvements"</f>
        <v xml:space="preserve"> Assumed duration of 2 years for Water Conveyance capital improvements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2:21" x14ac:dyDescent="0.25">
      <c r="B15" s="42">
        <f>C2</f>
        <v>2015</v>
      </c>
      <c r="C15" s="4">
        <f>IF(C$2&lt;$B15+Assumptions!$C$16,C$12/Assumptions!$C$16,0)</f>
        <v>18030000</v>
      </c>
      <c r="D15" s="4">
        <f>IF(D$2&lt;$B15+Assumptions!$C$16,C$12/Assumptions!$C$16,0)</f>
        <v>18030000</v>
      </c>
      <c r="E15" s="4">
        <f>IF(E$2&lt;$B15+Assumptions!$C$16,C$12/Assumptions!$C$16,0)</f>
        <v>0</v>
      </c>
      <c r="F15" s="4">
        <f>IF(F$2&lt;$B15+Assumptions!$C$16,C$12/Assumptions!$C$16,0)</f>
        <v>0</v>
      </c>
      <c r="G15" s="4">
        <f>IF(G$2&lt;$B15+Assumptions!$C$16,C$12/Assumptions!$C$16,0)</f>
        <v>0</v>
      </c>
      <c r="H15" s="4">
        <f>IF(H$2&lt;$B15+Assumptions!$C$16,C$12/Assumptions!$C$16,0)</f>
        <v>0</v>
      </c>
      <c r="I15" s="4">
        <f>IF(I$2&lt;$B15+Assumptions!$C$16,C$12/Assumptions!$C$16,0)</f>
        <v>0</v>
      </c>
      <c r="J15" s="4">
        <f>IF(J$2&lt;$B15+Assumptions!$C$16,C$12/Assumptions!$C$16,0)</f>
        <v>0</v>
      </c>
      <c r="K15" s="4">
        <f>IF(K$2&lt;$B15+Assumptions!$C$16,C$12/Assumptions!$C$16,0)</f>
        <v>0</v>
      </c>
      <c r="L15" s="4">
        <f>IF(L$2&lt;$B15+Assumptions!$C$16,C$12/Assumptions!$C$16,0)</f>
        <v>0</v>
      </c>
      <c r="M15" s="4">
        <f>IF(M$2&lt;$B15+Assumptions!$C$16,C$12/Assumptions!$C$16,0)</f>
        <v>0</v>
      </c>
    </row>
    <row r="16" spans="2:21" x14ac:dyDescent="0.25">
      <c r="B16" s="42">
        <f>B15+1</f>
        <v>2016</v>
      </c>
      <c r="C16" s="4"/>
      <c r="D16" s="4">
        <f>IF(D$2&lt;$B16+Assumptions!$C$16,D$12/Assumptions!$C$16,0)</f>
        <v>24530000</v>
      </c>
      <c r="E16" s="4">
        <f>IF(E$2&lt;$B16+Assumptions!$C$16,D$12/Assumptions!$C$16,0)</f>
        <v>24530000</v>
      </c>
      <c r="F16" s="4">
        <f>IF(F$2&lt;$B16+Assumptions!$C$16,D$12/Assumptions!$C$16,0)</f>
        <v>0</v>
      </c>
      <c r="G16" s="4">
        <f>IF(G$2&lt;$B16+Assumptions!$C$16,D$12/Assumptions!$C$16,0)</f>
        <v>0</v>
      </c>
      <c r="H16" s="4">
        <f>IF(H$2&lt;$B16+Assumptions!$C$16,D$12/Assumptions!$C$16,0)</f>
        <v>0</v>
      </c>
      <c r="I16" s="4">
        <f>IF(I$2&lt;$B16+Assumptions!$C$16,D$12/Assumptions!$C$16,0)</f>
        <v>0</v>
      </c>
      <c r="J16" s="4">
        <f>IF(J$2&lt;$B16+Assumptions!$C$16,D$12/Assumptions!$C$16,0)</f>
        <v>0</v>
      </c>
      <c r="K16" s="4">
        <f>IF(K$2&lt;$B16+Assumptions!$C$16,D$12/Assumptions!$C$16,0)</f>
        <v>0</v>
      </c>
      <c r="L16" s="4">
        <f>IF(L$2&lt;$B16+Assumptions!$C$16,D$12/Assumptions!$C$16,0)</f>
        <v>0</v>
      </c>
      <c r="M16" s="4">
        <f>IF(M$2&lt;$B16+Assumptions!$C$16,D$12/Assumptions!$C$16,0)</f>
        <v>0</v>
      </c>
      <c r="N16" s="4"/>
    </row>
    <row r="17" spans="2:23 16379:16379" x14ac:dyDescent="0.25">
      <c r="B17" s="42">
        <f t="shared" ref="B17:B25" si="4">B16+1</f>
        <v>2017</v>
      </c>
      <c r="C17" s="4"/>
      <c r="D17" s="4"/>
      <c r="E17" s="4">
        <f>IF(E$2&lt;$B17+Assumptions!$C$16,E$12/Assumptions!$C$16,0)</f>
        <v>25530000</v>
      </c>
      <c r="F17" s="4">
        <f>IF(F$2&lt;$B17+Assumptions!$C$16,E$12/Assumptions!$C$16,0)</f>
        <v>25530000</v>
      </c>
      <c r="G17" s="4">
        <f>IF(G$2&lt;$B17+Assumptions!$C$16,E$12/Assumptions!$C$16,0)</f>
        <v>0</v>
      </c>
      <c r="H17" s="4">
        <f>IF(H$2&lt;$B17+Assumptions!$C$16,E$12/Assumptions!$C$16,0)</f>
        <v>0</v>
      </c>
      <c r="I17" s="4">
        <f>IF(I$2&lt;$B17+Assumptions!$C$16,E$12/Assumptions!$C$16,0)</f>
        <v>0</v>
      </c>
      <c r="J17" s="4">
        <f>IF(J$2&lt;$B17+Assumptions!$C$16,E$12/Assumptions!$C$16,0)</f>
        <v>0</v>
      </c>
      <c r="K17" s="4">
        <f>IF(K$2&lt;$B17+Assumptions!$C$16,E$12/Assumptions!$C$16,0)</f>
        <v>0</v>
      </c>
      <c r="L17" s="4">
        <f>IF(L$2&lt;$B17+Assumptions!$C$16,E$12/Assumptions!$C$16,0)</f>
        <v>0</v>
      </c>
      <c r="M17" s="4">
        <f>IF(M$2&lt;$B17+Assumptions!$C$16,E$12/Assumptions!$C$16,0)</f>
        <v>0</v>
      </c>
      <c r="N17" s="4"/>
      <c r="O17" s="4"/>
    </row>
    <row r="18" spans="2:23 16379:16379" x14ac:dyDescent="0.25">
      <c r="B18" s="42">
        <f t="shared" si="4"/>
        <v>2018</v>
      </c>
      <c r="C18" s="4"/>
      <c r="D18" s="4"/>
      <c r="E18" s="4"/>
      <c r="F18" s="4">
        <f>IF(F$2&lt;$B18+Assumptions!$C$16,F$12/Assumptions!$C$16,0)</f>
        <v>37530000</v>
      </c>
      <c r="G18" s="4">
        <f>IF(G$2&lt;$B18+Assumptions!$C$16,F$12/Assumptions!$C$16,0)</f>
        <v>37530000</v>
      </c>
      <c r="H18" s="4">
        <f>IF(H$2&lt;$B18+Assumptions!$C$16,F$12/Assumptions!$C$16,0)</f>
        <v>0</v>
      </c>
      <c r="I18" s="4">
        <f>IF(I$2&lt;$B18+Assumptions!$C$16,F$12/Assumptions!$C$16,0)</f>
        <v>0</v>
      </c>
      <c r="J18" s="4">
        <f>IF(J$2&lt;$B18+Assumptions!$C$16,F$12/Assumptions!$C$16,0)</f>
        <v>0</v>
      </c>
      <c r="K18" s="4">
        <f>IF(K$2&lt;$B18+Assumptions!$C$16,F$12/Assumptions!$C$16,0)</f>
        <v>0</v>
      </c>
      <c r="L18" s="4">
        <f>IF(L$2&lt;$B18+Assumptions!$C$16,F$12/Assumptions!$C$16,0)</f>
        <v>0</v>
      </c>
      <c r="M18" s="4">
        <f>IF(M$2&lt;$B18+Assumptions!$C$16,F$12/Assumptions!$C$16,0)</f>
        <v>0</v>
      </c>
      <c r="N18" s="4"/>
      <c r="O18" s="4"/>
      <c r="P18" s="4"/>
    </row>
    <row r="19" spans="2:23 16379:16379" x14ac:dyDescent="0.25">
      <c r="B19" s="42">
        <f t="shared" si="4"/>
        <v>2019</v>
      </c>
      <c r="C19" s="4"/>
      <c r="D19" s="4"/>
      <c r="E19" s="4"/>
      <c r="F19" s="4"/>
      <c r="G19" s="4">
        <f>IF(G$2&lt;$B19+Assumptions!$C$16,G$12/Assumptions!$C$16,0)</f>
        <v>44530000</v>
      </c>
      <c r="H19" s="4">
        <f>IF(H$2&lt;$B19+Assumptions!$C$16,G$12/Assumptions!$C$16,0)</f>
        <v>44530000</v>
      </c>
      <c r="I19" s="4">
        <f>IF(I$2&lt;$B19+Assumptions!$C$16,G$12/Assumptions!$C$16,0)</f>
        <v>0</v>
      </c>
      <c r="J19" s="4">
        <f>IF(J$2&lt;$B19+Assumptions!$C$16,G$12/Assumptions!$C$16,0)</f>
        <v>0</v>
      </c>
      <c r="K19" s="4">
        <f>IF(K$2&lt;$B19+Assumptions!$C$16,G$12/Assumptions!$C$16,0)</f>
        <v>0</v>
      </c>
      <c r="L19" s="4">
        <f>IF(L$2&lt;$B19+Assumptions!$C$16,G$12/Assumptions!$C$16,0)</f>
        <v>0</v>
      </c>
      <c r="M19" s="4">
        <f>IF(M$2&lt;$B19+Assumptions!$C$16,G$12/Assumptions!$C$16,0)</f>
        <v>0</v>
      </c>
      <c r="N19" s="4"/>
      <c r="O19" s="4"/>
      <c r="P19" s="4"/>
      <c r="Q19" s="4"/>
    </row>
    <row r="20" spans="2:23 16379:16379" x14ac:dyDescent="0.25">
      <c r="B20" s="42">
        <f t="shared" si="4"/>
        <v>2020</v>
      </c>
      <c r="C20" s="4"/>
      <c r="D20" s="4"/>
      <c r="E20" s="4"/>
      <c r="F20" s="4"/>
      <c r="G20" s="4"/>
      <c r="H20" s="4">
        <f>IF(H$2&lt;$B20+Assumptions!$C$16,H$12/Assumptions!$C$16,0)</f>
        <v>56530000</v>
      </c>
      <c r="I20" s="4">
        <f>IF(I$2&lt;$B20+Assumptions!$C$16,H$12/Assumptions!$C$16,0)</f>
        <v>56530000</v>
      </c>
      <c r="J20" s="4">
        <f>IF(J$2&lt;$B20+Assumptions!$C$16,H$12/Assumptions!$C$16,0)</f>
        <v>0</v>
      </c>
      <c r="K20" s="4">
        <f>IF(K$2&lt;$B20+Assumptions!$C$16,H$12/Assumptions!$C$16,0)</f>
        <v>0</v>
      </c>
      <c r="L20" s="4">
        <f>IF(L$2&lt;$B20+Assumptions!$C$16,H$12/Assumptions!$C$16,0)</f>
        <v>0</v>
      </c>
      <c r="M20" s="4">
        <f>IF(M$2&lt;$B20+Assumptions!$C$16,H$12/Assumptions!$C$16,0)</f>
        <v>0</v>
      </c>
      <c r="N20" s="4"/>
      <c r="O20" s="4"/>
      <c r="P20" s="4"/>
      <c r="Q20" s="4"/>
      <c r="R20" s="4"/>
    </row>
    <row r="21" spans="2:23 16379:16379" x14ac:dyDescent="0.25">
      <c r="B21" s="42">
        <f t="shared" si="4"/>
        <v>2021</v>
      </c>
      <c r="C21" s="4"/>
      <c r="D21" s="4"/>
      <c r="E21" s="4"/>
      <c r="F21" s="4"/>
      <c r="G21" s="4"/>
      <c r="H21" s="4"/>
      <c r="I21" s="4">
        <f>IF(I$2&lt;$B21+Assumptions!$C$16,I$12/Assumptions!$C$16,0)</f>
        <v>49030000</v>
      </c>
      <c r="J21" s="4">
        <f>IF(J$2&lt;$B21+Assumptions!$C$16,I$12/Assumptions!$C$16,0)</f>
        <v>49030000</v>
      </c>
      <c r="K21" s="4">
        <f>IF(K$2&lt;$B21+Assumptions!$C$16,I$12/Assumptions!$C$16,0)</f>
        <v>0</v>
      </c>
      <c r="L21" s="4">
        <f>IF(L$2&lt;$B21+Assumptions!$C$16,I$12/Assumptions!$C$16,0)</f>
        <v>0</v>
      </c>
      <c r="M21" s="4">
        <f>IF(M$2&lt;$B21+Assumptions!$C$16,I$12/Assumptions!$C$16,0)</f>
        <v>0</v>
      </c>
      <c r="N21" s="4"/>
      <c r="O21" s="4"/>
      <c r="P21" s="4"/>
      <c r="Q21" s="4"/>
      <c r="R21" s="4"/>
      <c r="S21" s="4"/>
    </row>
    <row r="22" spans="2:23 16379:16379" x14ac:dyDescent="0.25">
      <c r="B22" s="42">
        <f t="shared" si="4"/>
        <v>2022</v>
      </c>
      <c r="C22" s="4"/>
      <c r="D22" s="4"/>
      <c r="E22" s="4"/>
      <c r="F22" s="4"/>
      <c r="G22" s="4"/>
      <c r="H22" s="4"/>
      <c r="I22" s="4"/>
      <c r="J22" s="4">
        <f>IF(J$2&lt;$B22+Assumptions!$C$16,J$12/Assumptions!$C$16,0)</f>
        <v>53178900</v>
      </c>
      <c r="K22" s="4">
        <f>IF(K$2&lt;$B22+Assumptions!$C$16,J$12/Assumptions!$C$16,0)</f>
        <v>53178900</v>
      </c>
      <c r="L22" s="4">
        <f>IF(L$2&lt;$B22+Assumptions!$C$16,J$12/Assumptions!$C$16,0)</f>
        <v>0</v>
      </c>
      <c r="M22" s="4">
        <f>IF(M$2&lt;$B22+Assumptions!$C$16,J$12/Assumptions!$C$16,0)</f>
        <v>0</v>
      </c>
      <c r="N22" s="4"/>
      <c r="O22" s="4"/>
      <c r="P22" s="4"/>
      <c r="Q22" s="4"/>
      <c r="R22" s="4"/>
      <c r="S22" s="4"/>
      <c r="T22" s="4"/>
    </row>
    <row r="23" spans="2:23 16379:16379" x14ac:dyDescent="0.25">
      <c r="B23" s="42">
        <f t="shared" si="4"/>
        <v>2023</v>
      </c>
      <c r="C23" s="4"/>
      <c r="D23" s="4"/>
      <c r="E23" s="4"/>
      <c r="F23" s="4"/>
      <c r="G23" s="4"/>
      <c r="H23" s="4"/>
      <c r="I23" s="4"/>
      <c r="J23" s="4"/>
      <c r="K23" s="4">
        <f>IF(K$2&lt;$B23+Assumptions!$C$16,K$12/Assumptions!$C$16,0)</f>
        <v>57320522</v>
      </c>
      <c r="L23" s="4">
        <f>IF(L$2&lt;$B23+Assumptions!$C$16,K$12/Assumptions!$C$16,0)</f>
        <v>57320522</v>
      </c>
      <c r="M23" s="4">
        <f>IF(M$2&lt;$B23+Assumptions!$C$16,K$12/Assumptions!$C$16,0)</f>
        <v>0</v>
      </c>
      <c r="N23" s="4"/>
      <c r="O23" s="4"/>
      <c r="P23" s="4"/>
      <c r="Q23" s="4"/>
      <c r="R23" s="4"/>
      <c r="S23" s="4"/>
      <c r="T23" s="4"/>
      <c r="U23" s="4"/>
    </row>
    <row r="24" spans="2:23 16379:16379" x14ac:dyDescent="0.25">
      <c r="B24" s="42">
        <f t="shared" si="4"/>
        <v>2024</v>
      </c>
      <c r="C24" s="4"/>
      <c r="D24" s="4"/>
      <c r="E24" s="4"/>
      <c r="F24" s="4"/>
      <c r="G24" s="4"/>
      <c r="H24" s="4"/>
      <c r="I24" s="4"/>
      <c r="J24" s="4"/>
      <c r="K24" s="4"/>
      <c r="L24" s="4">
        <f>IF(L$2&lt;$B24+Assumptions!$C$16,L$12/Assumptions!$C$16,0)</f>
        <v>61771674.210000001</v>
      </c>
      <c r="M24" s="4">
        <f>IF(M$2&lt;$B24+Assumptions!$C$16,L$12/Assumptions!$C$16,0)</f>
        <v>61771674.210000001</v>
      </c>
      <c r="N24" s="4"/>
      <c r="O24" s="4"/>
      <c r="P24" s="4"/>
      <c r="Q24" s="4"/>
      <c r="R24" s="4"/>
      <c r="S24" s="4"/>
      <c r="T24" s="4"/>
      <c r="U24" s="4"/>
      <c r="V24" s="4"/>
    </row>
    <row r="25" spans="2:23 16379:16379" x14ac:dyDescent="0.25">
      <c r="B25" s="42">
        <f t="shared" si="4"/>
        <v>2025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>IF(M$2&lt;$B25+Assumptions!$C$16,M$12/Assumptions!$C$16,0)</f>
        <v>63625013.029299997</v>
      </c>
      <c r="N25" s="4"/>
      <c r="O25" s="4"/>
      <c r="P25" s="4"/>
      <c r="Q25" s="4"/>
      <c r="R25" s="4"/>
      <c r="S25" s="4"/>
      <c r="T25" s="4"/>
      <c r="U25" s="4"/>
      <c r="V25" s="4"/>
      <c r="W25" s="4"/>
    </row>
    <row r="27" spans="2:23 16379:16379" x14ac:dyDescent="0.25">
      <c r="B27" s="2" t="s">
        <v>4</v>
      </c>
      <c r="C27" s="4">
        <f>SUM(C15:C25)</f>
        <v>18030000</v>
      </c>
      <c r="D27" s="4">
        <f t="shared" ref="D27:M27" si="5">SUM(D15:D25)</f>
        <v>42560000</v>
      </c>
      <c r="E27" s="4">
        <f t="shared" si="5"/>
        <v>50060000</v>
      </c>
      <c r="F27" s="4">
        <f t="shared" si="5"/>
        <v>63060000</v>
      </c>
      <c r="G27" s="4">
        <f t="shared" si="5"/>
        <v>82060000</v>
      </c>
      <c r="H27" s="4">
        <f t="shared" si="5"/>
        <v>101060000</v>
      </c>
      <c r="I27" s="4">
        <f t="shared" si="5"/>
        <v>105560000</v>
      </c>
      <c r="J27" s="4">
        <f t="shared" si="5"/>
        <v>102208900</v>
      </c>
      <c r="K27" s="4">
        <f t="shared" si="5"/>
        <v>110499422</v>
      </c>
      <c r="L27" s="4">
        <f t="shared" si="5"/>
        <v>119092196.21000001</v>
      </c>
      <c r="M27" s="4">
        <f t="shared" si="5"/>
        <v>125396687.2393</v>
      </c>
    </row>
    <row r="28" spans="2:23 16379:16379" x14ac:dyDescent="0.25">
      <c r="C28" s="4"/>
      <c r="D28" s="4"/>
      <c r="E28" s="4"/>
      <c r="F28" s="4"/>
      <c r="G28" s="4"/>
      <c r="M28" s="8"/>
    </row>
    <row r="29" spans="2:23 16379:16379" x14ac:dyDescent="0.25">
      <c r="B29" s="2" t="s">
        <v>28</v>
      </c>
      <c r="J29" s="6"/>
      <c r="XEY29" s="6"/>
    </row>
    <row r="30" spans="2:23 16379:16379" x14ac:dyDescent="0.25">
      <c r="B30" s="3" t="str">
        <f>+B7</f>
        <v>Water Master Plan</v>
      </c>
      <c r="C30" s="4">
        <f>+'Water Master Plan'!C36</f>
        <v>0</v>
      </c>
      <c r="D30" s="4">
        <f>+'Water Master Plan'!D36</f>
        <v>0</v>
      </c>
      <c r="E30" s="4">
        <f>+'Water Master Plan'!E36</f>
        <v>0</v>
      </c>
      <c r="F30" s="4">
        <f>+'Water Master Plan'!F36</f>
        <v>0</v>
      </c>
      <c r="G30" s="4">
        <f>+'Water Master Plan'!G36</f>
        <v>0</v>
      </c>
      <c r="H30" s="4">
        <f>+'Water Master Plan'!H36</f>
        <v>0</v>
      </c>
      <c r="I30" s="4">
        <f>+'Water Master Plan'!I36</f>
        <v>0</v>
      </c>
      <c r="J30" s="4">
        <f>+'Water Master Plan'!J36</f>
        <v>2884000</v>
      </c>
      <c r="K30" s="4">
        <f>+'Water Master Plan'!K36</f>
        <v>5251000</v>
      </c>
      <c r="L30" s="4">
        <f>+'Water Master Plan'!L36</f>
        <v>36770000</v>
      </c>
      <c r="M30" s="4">
        <f>+'Water Master Plan'!M36</f>
        <v>39618000</v>
      </c>
      <c r="T30" s="4"/>
      <c r="U30" s="4"/>
    </row>
    <row r="31" spans="2:23 16379:16379" x14ac:dyDescent="0.25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T31" s="4"/>
      <c r="U31" s="4"/>
    </row>
    <row r="33" spans="2:13" x14ac:dyDescent="0.25">
      <c r="B33" s="10" t="s">
        <v>2</v>
      </c>
      <c r="C33" s="4">
        <f t="shared" ref="C33:M33" si="6">SUM(C30:C32)</f>
        <v>0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0</v>
      </c>
      <c r="I33" s="4">
        <f t="shared" si="6"/>
        <v>0</v>
      </c>
      <c r="J33" s="4">
        <f t="shared" si="6"/>
        <v>2884000</v>
      </c>
      <c r="K33" s="4">
        <f t="shared" si="6"/>
        <v>5251000</v>
      </c>
      <c r="L33" s="4">
        <f t="shared" si="6"/>
        <v>36770000</v>
      </c>
      <c r="M33" s="4">
        <f t="shared" si="6"/>
        <v>39618000</v>
      </c>
    </row>
    <row r="35" spans="2:13" x14ac:dyDescent="0.25">
      <c r="B35" s="23" t="s">
        <v>6</v>
      </c>
      <c r="C35" s="24">
        <f t="shared" ref="C35:M35" si="7">+C33+C27</f>
        <v>18030000</v>
      </c>
      <c r="D35" s="24">
        <f t="shared" si="7"/>
        <v>42560000</v>
      </c>
      <c r="E35" s="24">
        <f t="shared" si="7"/>
        <v>50060000</v>
      </c>
      <c r="F35" s="24">
        <f t="shared" si="7"/>
        <v>63060000</v>
      </c>
      <c r="G35" s="24">
        <f t="shared" si="7"/>
        <v>82060000</v>
      </c>
      <c r="H35" s="24">
        <f t="shared" si="7"/>
        <v>101060000</v>
      </c>
      <c r="I35" s="24">
        <f t="shared" si="7"/>
        <v>105560000</v>
      </c>
      <c r="J35" s="24">
        <f t="shared" si="7"/>
        <v>105092900</v>
      </c>
      <c r="K35" s="24">
        <f t="shared" si="7"/>
        <v>115750422</v>
      </c>
      <c r="L35" s="24">
        <f t="shared" si="7"/>
        <v>155862196.21000001</v>
      </c>
      <c r="M35" s="24">
        <f t="shared" si="7"/>
        <v>165014687.23930001</v>
      </c>
    </row>
    <row r="36" spans="2:13" x14ac:dyDescent="0.25">
      <c r="C36" s="7"/>
      <c r="D36" s="7"/>
      <c r="E36" s="7"/>
      <c r="F36" s="7"/>
      <c r="G36" s="7"/>
      <c r="H36" s="7"/>
      <c r="I36" s="7"/>
    </row>
    <row r="37" spans="2:13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41" spans="2:13" x14ac:dyDescent="0.25">
      <c r="C41" s="7"/>
      <c r="D41" s="7"/>
      <c r="E41" s="7"/>
      <c r="F41" s="7"/>
      <c r="G41" s="7"/>
    </row>
    <row r="42" spans="2:13" x14ac:dyDescent="0.25">
      <c r="C42" s="5"/>
      <c r="D42" s="5"/>
      <c r="E42" s="5"/>
      <c r="F42" s="5"/>
      <c r="G42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4018-8172-46C0-8C35-6BD6C5D2AC1A}">
  <sheetPr>
    <tabColor theme="9" tint="-0.249977111117893"/>
  </sheetPr>
  <dimension ref="B2:U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7" sqref="O27"/>
    </sheetView>
  </sheetViews>
  <sheetFormatPr defaultColWidth="9.140625" defaultRowHeight="15" x14ac:dyDescent="0.25"/>
  <cols>
    <col min="1" max="1" width="9.140625" style="1"/>
    <col min="2" max="2" width="34.5703125" style="1" customWidth="1"/>
    <col min="3" max="13" width="15.42578125" style="1" customWidth="1"/>
    <col min="14" max="19" width="9.140625" style="1"/>
    <col min="20" max="21" width="12.140625" style="1" bestFit="1" customWidth="1"/>
    <col min="22" max="16384" width="9.140625" style="1"/>
  </cols>
  <sheetData>
    <row r="2" spans="2:21" x14ac:dyDescent="0.25">
      <c r="B2" s="9" t="str">
        <f ca="1">MID(CELL("filename",A1),FIND("]",CELL("filename",A1))+1,256)</f>
        <v>Collector System</v>
      </c>
      <c r="C2" s="41">
        <f t="shared" ref="C2:F2" si="0">+D2-1</f>
        <v>2015</v>
      </c>
      <c r="D2" s="41">
        <f t="shared" si="0"/>
        <v>2016</v>
      </c>
      <c r="E2" s="41">
        <f t="shared" si="0"/>
        <v>2017</v>
      </c>
      <c r="F2" s="41">
        <f t="shared" si="0"/>
        <v>2018</v>
      </c>
      <c r="G2" s="41">
        <v>2019</v>
      </c>
      <c r="H2" s="41">
        <f>+G2+1</f>
        <v>2020</v>
      </c>
      <c r="I2" s="41">
        <f t="shared" ref="I2:M2" si="1">+H2+1</f>
        <v>2021</v>
      </c>
      <c r="J2" s="41">
        <f t="shared" si="1"/>
        <v>2022</v>
      </c>
      <c r="K2" s="41">
        <f t="shared" si="1"/>
        <v>2023</v>
      </c>
      <c r="L2" s="41">
        <f t="shared" si="1"/>
        <v>2024</v>
      </c>
      <c r="M2" s="41">
        <f t="shared" si="1"/>
        <v>2025</v>
      </c>
    </row>
    <row r="4" spans="2:21" x14ac:dyDescent="0.25">
      <c r="B4" s="2" t="s">
        <v>12</v>
      </c>
      <c r="C4" s="4">
        <f>'PWD CIP'!C$41</f>
        <v>70660000</v>
      </c>
      <c r="D4" s="4">
        <f>'PWD CIP'!D$41</f>
        <v>84960000</v>
      </c>
      <c r="E4" s="4">
        <f>'PWD CIP'!E$41</f>
        <v>98244000</v>
      </c>
      <c r="F4" s="4">
        <f>'PWD CIP'!F$41</f>
        <v>107900000</v>
      </c>
      <c r="G4" s="4">
        <f>'PWD CIP'!G$41</f>
        <v>113000000</v>
      </c>
      <c r="H4" s="4">
        <f>'PWD CIP'!H$41</f>
        <v>139800000</v>
      </c>
      <c r="I4" s="4">
        <f>'PWD CIP'!I$41</f>
        <v>159460000</v>
      </c>
      <c r="J4" s="4">
        <f>'PWD CIP'!J$41</f>
        <v>159505800</v>
      </c>
      <c r="K4" s="4">
        <f>'PWD CIP'!K$41</f>
        <v>164290974</v>
      </c>
      <c r="L4" s="4">
        <f>'PWD CIP'!L$41</f>
        <v>169219703.22</v>
      </c>
      <c r="M4" s="4">
        <f>'PWD CIP'!M$41</f>
        <v>174296294.31659999</v>
      </c>
    </row>
    <row r="5" spans="2:21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1" x14ac:dyDescent="0.25">
      <c r="B6" s="2" t="s">
        <v>1</v>
      </c>
    </row>
    <row r="7" spans="2:21" x14ac:dyDescent="0.25">
      <c r="B7" s="3" t="s">
        <v>51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T7" s="4"/>
      <c r="U7" s="4"/>
    </row>
    <row r="8" spans="2:21" x14ac:dyDescent="0.25">
      <c r="B8" s="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T8" s="4"/>
      <c r="U8" s="4"/>
    </row>
    <row r="9" spans="2:21" x14ac:dyDescent="0.25">
      <c r="B9" s="3"/>
      <c r="T9" s="4"/>
    </row>
    <row r="10" spans="2:21" x14ac:dyDescent="0.25">
      <c r="B10" s="10" t="s">
        <v>2</v>
      </c>
      <c r="C10" s="4">
        <f t="shared" ref="C10:M10" si="2">SUM(C7:C9)</f>
        <v>0</v>
      </c>
      <c r="D10" s="4">
        <f t="shared" si="2"/>
        <v>0</v>
      </c>
      <c r="E10" s="4">
        <f t="shared" si="2"/>
        <v>0</v>
      </c>
      <c r="F10" s="4">
        <f t="shared" si="2"/>
        <v>0</v>
      </c>
      <c r="G10" s="4">
        <f t="shared" si="2"/>
        <v>0</v>
      </c>
      <c r="H10" s="4">
        <f t="shared" si="2"/>
        <v>0</v>
      </c>
      <c r="I10" s="4">
        <f t="shared" si="2"/>
        <v>0</v>
      </c>
      <c r="J10" s="4">
        <f t="shared" si="2"/>
        <v>0</v>
      </c>
      <c r="K10" s="4">
        <f t="shared" si="2"/>
        <v>0</v>
      </c>
      <c r="L10" s="4">
        <f t="shared" si="2"/>
        <v>0</v>
      </c>
      <c r="M10" s="4">
        <f t="shared" si="2"/>
        <v>0</v>
      </c>
      <c r="T10" s="4"/>
    </row>
    <row r="12" spans="2:21" x14ac:dyDescent="0.25">
      <c r="B12" s="2" t="s">
        <v>3</v>
      </c>
      <c r="C12" s="4">
        <f t="shared" ref="C12:M12" si="3">+C4-C10</f>
        <v>70660000</v>
      </c>
      <c r="D12" s="4">
        <f t="shared" si="3"/>
        <v>84960000</v>
      </c>
      <c r="E12" s="4">
        <f t="shared" si="3"/>
        <v>98244000</v>
      </c>
      <c r="F12" s="4">
        <f t="shared" si="3"/>
        <v>107900000</v>
      </c>
      <c r="G12" s="4">
        <f t="shared" si="3"/>
        <v>113000000</v>
      </c>
      <c r="H12" s="4">
        <f t="shared" si="3"/>
        <v>139800000</v>
      </c>
      <c r="I12" s="4">
        <f t="shared" si="3"/>
        <v>159460000</v>
      </c>
      <c r="J12" s="4">
        <f t="shared" si="3"/>
        <v>159505800</v>
      </c>
      <c r="K12" s="4">
        <f t="shared" si="3"/>
        <v>164290974</v>
      </c>
      <c r="L12" s="4">
        <f t="shared" si="3"/>
        <v>169219703.22</v>
      </c>
      <c r="M12" s="4">
        <f t="shared" si="3"/>
        <v>174296294.31659999</v>
      </c>
    </row>
    <row r="14" spans="2:21" x14ac:dyDescent="0.25">
      <c r="B14" s="35" t="s">
        <v>55</v>
      </c>
      <c r="C14" s="37" t="str">
        <f>" Assumed duration of "&amp;FIXED(Assumptions!$C$17,0,0)&amp;" years for "&amp;Assumptions!$B$17&amp;" capital improvements"</f>
        <v xml:space="preserve"> Assumed duration of 3 years for Sewer Collection capital improvements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2:21" x14ac:dyDescent="0.25">
      <c r="B15" s="42">
        <f>C2</f>
        <v>2015</v>
      </c>
      <c r="C15" s="4">
        <f>IF(C$2&lt;$B15+Assumptions!$C$17,C$12/Assumptions!$C$17,0)</f>
        <v>23553333.333333332</v>
      </c>
      <c r="D15" s="4">
        <f>IF(D$2&lt;$B15+Assumptions!$C$17,C$12/Assumptions!$C$17,0)</f>
        <v>23553333.333333332</v>
      </c>
      <c r="E15" s="4">
        <f>IF(E$2&lt;$B15+Assumptions!$C$17,C$12/Assumptions!$C$17,0)</f>
        <v>23553333.333333332</v>
      </c>
      <c r="F15" s="4">
        <f>IF(F$2&lt;$B15+Assumptions!$C$17,C$12/Assumptions!$C$17,0)</f>
        <v>0</v>
      </c>
      <c r="G15" s="4">
        <f>IF(G$2&lt;$B15+Assumptions!$C$17,C$12/Assumptions!$C$17,0)</f>
        <v>0</v>
      </c>
      <c r="H15" s="4">
        <f>IF(H$2&lt;$B15+Assumptions!$C$17,C$12/Assumptions!$C$17,0)</f>
        <v>0</v>
      </c>
      <c r="I15" s="4">
        <f>IF(I$2&lt;$B15+Assumptions!$C$17,C$12/Assumptions!$C$17,0)</f>
        <v>0</v>
      </c>
      <c r="J15" s="4">
        <f>IF(J$2&lt;$B15+Assumptions!$C$17,C$12/Assumptions!$C$17,0)</f>
        <v>0</v>
      </c>
      <c r="K15" s="4">
        <f>IF(K$2&lt;$B15+Assumptions!$C$17,C$12/Assumptions!$C$17,0)</f>
        <v>0</v>
      </c>
      <c r="L15" s="4">
        <f>IF(L$2&lt;$B15+Assumptions!$C$17,C$12/Assumptions!$C$17,0)</f>
        <v>0</v>
      </c>
      <c r="M15" s="4">
        <f>IF(M$2&lt;$B15+Assumptions!$C$17,C$12/Assumptions!$C$17,0)</f>
        <v>0</v>
      </c>
    </row>
    <row r="16" spans="2:21" x14ac:dyDescent="0.25">
      <c r="B16" s="42">
        <f>B15+1</f>
        <v>2016</v>
      </c>
      <c r="C16" s="4"/>
      <c r="D16" s="4">
        <f>IF(D$2&lt;$B16+Assumptions!$C$17,D$12/Assumptions!$C$17,0)</f>
        <v>28320000</v>
      </c>
      <c r="E16" s="4">
        <f>IF(E$2&lt;$B16+Assumptions!$C$17,D$12/Assumptions!$C$17,0)</f>
        <v>28320000</v>
      </c>
      <c r="F16" s="4">
        <f>IF(F$2&lt;$B16+Assumptions!$C$17,D$12/Assumptions!$C$17,0)</f>
        <v>28320000</v>
      </c>
      <c r="G16" s="4">
        <f>IF(G$2&lt;$B16+Assumptions!$C$17,D$12/Assumptions!$C$17,0)</f>
        <v>0</v>
      </c>
      <c r="H16" s="4">
        <f>IF(H$2&lt;$B16+Assumptions!$C$17,D$12/Assumptions!$C$17,0)</f>
        <v>0</v>
      </c>
      <c r="I16" s="4">
        <f>IF(I$2&lt;$B16+Assumptions!$C$17,D$12/Assumptions!$C$17,0)</f>
        <v>0</v>
      </c>
      <c r="J16" s="4">
        <f>IF(J$2&lt;$B16+Assumptions!$C$17,D$12/Assumptions!$C$17,0)</f>
        <v>0</v>
      </c>
      <c r="K16" s="4">
        <f>IF(K$2&lt;$B16+Assumptions!$C$17,D$12/Assumptions!$C$17,0)</f>
        <v>0</v>
      </c>
      <c r="L16" s="4">
        <f>IF(L$2&lt;$B16+Assumptions!$C$17,D$12/Assumptions!$C$17,0)</f>
        <v>0</v>
      </c>
      <c r="M16" s="4">
        <f>IF(M$2&lt;$B16+Assumptions!$C$17,D$12/Assumptions!$C$17,0)</f>
        <v>0</v>
      </c>
    </row>
    <row r="17" spans="2:21" x14ac:dyDescent="0.25">
      <c r="B17" s="42">
        <f t="shared" ref="B17:B25" si="4">B16+1</f>
        <v>2017</v>
      </c>
      <c r="C17" s="4"/>
      <c r="D17" s="4"/>
      <c r="E17" s="4">
        <f>IF(E$2&lt;$B17+Assumptions!$C$17,E$12/Assumptions!$C$17,0)</f>
        <v>32748000</v>
      </c>
      <c r="F17" s="4">
        <f>IF(F$2&lt;$B17+Assumptions!$C$17,E$12/Assumptions!$C$17,0)</f>
        <v>32748000</v>
      </c>
      <c r="G17" s="4">
        <f>IF(G$2&lt;$B17+Assumptions!$C$17,E$12/Assumptions!$C$17,0)</f>
        <v>32748000</v>
      </c>
      <c r="H17" s="4">
        <f>IF(H$2&lt;$B17+Assumptions!$C$17,E$12/Assumptions!$C$17,0)</f>
        <v>0</v>
      </c>
      <c r="I17" s="4">
        <f>IF(I$2&lt;$B17+Assumptions!$C$17,E$12/Assumptions!$C$17,0)</f>
        <v>0</v>
      </c>
      <c r="J17" s="4">
        <f>IF(J$2&lt;$B17+Assumptions!$C$17,E$12/Assumptions!$C$17,0)</f>
        <v>0</v>
      </c>
      <c r="K17" s="4">
        <f>IF(K$2&lt;$B17+Assumptions!$C$17,E$12/Assumptions!$C$17,0)</f>
        <v>0</v>
      </c>
      <c r="L17" s="4">
        <f>IF(L$2&lt;$B17+Assumptions!$C$17,E$12/Assumptions!$C$17,0)</f>
        <v>0</v>
      </c>
      <c r="M17" s="4">
        <f>IF(M$2&lt;$B17+Assumptions!$C$17,E$12/Assumptions!$C$17,0)</f>
        <v>0</v>
      </c>
    </row>
    <row r="18" spans="2:21" x14ac:dyDescent="0.25">
      <c r="B18" s="42">
        <f t="shared" si="4"/>
        <v>2018</v>
      </c>
      <c r="C18" s="4"/>
      <c r="D18" s="4"/>
      <c r="E18" s="4"/>
      <c r="F18" s="4">
        <f>IF(F$2&lt;$B18+Assumptions!$C$17,F$12/Assumptions!$C$17,0)</f>
        <v>35966666.666666664</v>
      </c>
      <c r="G18" s="4">
        <f>IF(G$2&lt;$B18+Assumptions!$C$17,F$12/Assumptions!$C$17,0)</f>
        <v>35966666.666666664</v>
      </c>
      <c r="H18" s="4">
        <f>IF(H$2&lt;$B18+Assumptions!$C$17,F$12/Assumptions!$C$17,0)</f>
        <v>35966666.666666664</v>
      </c>
      <c r="I18" s="4">
        <f>IF(I$2&lt;$B18+Assumptions!$C$17,F$12/Assumptions!$C$17,0)</f>
        <v>0</v>
      </c>
      <c r="J18" s="4">
        <f>IF(J$2&lt;$B18+Assumptions!$C$17,F$12/Assumptions!$C$17,0)</f>
        <v>0</v>
      </c>
      <c r="K18" s="4">
        <f>IF(K$2&lt;$B18+Assumptions!$C$17,F$12/Assumptions!$C$17,0)</f>
        <v>0</v>
      </c>
      <c r="L18" s="4">
        <f>IF(L$2&lt;$B18+Assumptions!$C$17,F$12/Assumptions!$C$17,0)</f>
        <v>0</v>
      </c>
      <c r="M18" s="4">
        <f>IF(M$2&lt;$B18+Assumptions!$C$17,F$12/Assumptions!$C$17,0)</f>
        <v>0</v>
      </c>
    </row>
    <row r="19" spans="2:21" x14ac:dyDescent="0.25">
      <c r="B19" s="42">
        <f t="shared" si="4"/>
        <v>2019</v>
      </c>
      <c r="C19" s="4"/>
      <c r="D19" s="4"/>
      <c r="E19" s="4"/>
      <c r="F19" s="4"/>
      <c r="G19" s="4">
        <f>IF(G$2&lt;$B19+Assumptions!$C$17,G$12/Assumptions!$C$17,0)</f>
        <v>37666666.666666664</v>
      </c>
      <c r="H19" s="4">
        <f>IF(H$2&lt;$B19+Assumptions!$C$17,G$12/Assumptions!$C$17,0)</f>
        <v>37666666.666666664</v>
      </c>
      <c r="I19" s="4">
        <f>IF(I$2&lt;$B19+Assumptions!$C$17,G$12/Assumptions!$C$17,0)</f>
        <v>37666666.666666664</v>
      </c>
      <c r="J19" s="4">
        <f>IF(J$2&lt;$B19+Assumptions!$C$17,G$12/Assumptions!$C$17,0)</f>
        <v>0</v>
      </c>
      <c r="K19" s="4">
        <f>IF(K$2&lt;$B19+Assumptions!$C$17,G$12/Assumptions!$C$17,0)</f>
        <v>0</v>
      </c>
      <c r="L19" s="4">
        <f>IF(L$2&lt;$B19+Assumptions!$C$17,G$12/Assumptions!$C$17,0)</f>
        <v>0</v>
      </c>
      <c r="M19" s="4">
        <f>IF(M$2&lt;$B19+Assumptions!$C$17,G$12/Assumptions!$C$17,0)</f>
        <v>0</v>
      </c>
    </row>
    <row r="20" spans="2:21" x14ac:dyDescent="0.25">
      <c r="B20" s="42">
        <f t="shared" si="4"/>
        <v>2020</v>
      </c>
      <c r="C20" s="4"/>
      <c r="D20" s="4"/>
      <c r="E20" s="4"/>
      <c r="F20" s="4"/>
      <c r="G20" s="4"/>
      <c r="H20" s="4">
        <f>IF(H$2&lt;$B20+Assumptions!$C$17,H$12/Assumptions!$C$17,0)</f>
        <v>46600000</v>
      </c>
      <c r="I20" s="4">
        <f>IF(I$2&lt;$B20+Assumptions!$C$17,H$12/Assumptions!$C$17,0)</f>
        <v>46600000</v>
      </c>
      <c r="J20" s="4">
        <f>IF(J$2&lt;$B20+Assumptions!$C$17,H$12/Assumptions!$C$17,0)</f>
        <v>46600000</v>
      </c>
      <c r="K20" s="4">
        <f>IF(K$2&lt;$B20+Assumptions!$C$17,H$12/Assumptions!$C$17,0)</f>
        <v>0</v>
      </c>
      <c r="L20" s="4">
        <f>IF(L$2&lt;$B20+Assumptions!$C$17,H$12/Assumptions!$C$17,0)</f>
        <v>0</v>
      </c>
      <c r="M20" s="4">
        <f>IF(M$2&lt;$B20+Assumptions!$C$17,H$12/Assumptions!$C$17,0)</f>
        <v>0</v>
      </c>
    </row>
    <row r="21" spans="2:21" x14ac:dyDescent="0.25">
      <c r="B21" s="42">
        <f t="shared" si="4"/>
        <v>2021</v>
      </c>
      <c r="C21" s="4"/>
      <c r="D21" s="4"/>
      <c r="E21" s="4"/>
      <c r="F21" s="4"/>
      <c r="G21" s="4"/>
      <c r="H21" s="4"/>
      <c r="I21" s="4">
        <f>IF(I$2&lt;$B21+Assumptions!$C$17,I$12/Assumptions!$C$17,0)</f>
        <v>53153333.333333336</v>
      </c>
      <c r="J21" s="4">
        <f>IF(J$2&lt;$B21+Assumptions!$C$17,I$12/Assumptions!$C$17,0)</f>
        <v>53153333.333333336</v>
      </c>
      <c r="K21" s="4">
        <f>IF(K$2&lt;$B21+Assumptions!$C$17,I$12/Assumptions!$C$17,0)</f>
        <v>53153333.333333336</v>
      </c>
      <c r="L21" s="4">
        <f>IF(L$2&lt;$B21+Assumptions!$C$17,I$12/Assumptions!$C$17,0)</f>
        <v>0</v>
      </c>
      <c r="M21" s="4">
        <f>IF(M$2&lt;$B21+Assumptions!$C$17,I$12/Assumptions!$C$17,0)</f>
        <v>0</v>
      </c>
    </row>
    <row r="22" spans="2:21" x14ac:dyDescent="0.25">
      <c r="B22" s="42">
        <f t="shared" si="4"/>
        <v>2022</v>
      </c>
      <c r="C22" s="4"/>
      <c r="D22" s="4"/>
      <c r="E22" s="4"/>
      <c r="F22" s="4"/>
      <c r="G22" s="4"/>
      <c r="H22" s="4"/>
      <c r="I22" s="4"/>
      <c r="J22" s="4">
        <f>IF(J$2&lt;$B22+Assumptions!$C$17,J$12/Assumptions!$C$17,0)</f>
        <v>53168600</v>
      </c>
      <c r="K22" s="4">
        <f>IF(K$2&lt;$B22+Assumptions!$C$17,J$12/Assumptions!$C$17,0)</f>
        <v>53168600</v>
      </c>
      <c r="L22" s="4">
        <f>IF(L$2&lt;$B22+Assumptions!$C$17,J$12/Assumptions!$C$17,0)</f>
        <v>53168600</v>
      </c>
      <c r="M22" s="4">
        <f>IF(M$2&lt;$B22+Assumptions!$C$17,J$12/Assumptions!$C$17,0)</f>
        <v>0</v>
      </c>
    </row>
    <row r="23" spans="2:21" x14ac:dyDescent="0.25">
      <c r="B23" s="42">
        <f t="shared" si="4"/>
        <v>2023</v>
      </c>
      <c r="C23" s="4"/>
      <c r="D23" s="4"/>
      <c r="E23" s="4"/>
      <c r="F23" s="4"/>
      <c r="G23" s="4"/>
      <c r="H23" s="4"/>
      <c r="I23" s="4"/>
      <c r="J23" s="4"/>
      <c r="K23" s="4">
        <f>IF(K$2&lt;$B23+Assumptions!$C$17,K$12/Assumptions!$C$17,0)</f>
        <v>54763658</v>
      </c>
      <c r="L23" s="4">
        <f>IF(L$2&lt;$B23+Assumptions!$C$17,K$12/Assumptions!$C$17,0)</f>
        <v>54763658</v>
      </c>
      <c r="M23" s="4">
        <f>IF(M$2&lt;$B23+Assumptions!$C$17,K$12/Assumptions!$C$17,0)</f>
        <v>54763658</v>
      </c>
    </row>
    <row r="24" spans="2:21" x14ac:dyDescent="0.25">
      <c r="B24" s="42">
        <f t="shared" si="4"/>
        <v>2024</v>
      </c>
      <c r="C24" s="4"/>
      <c r="D24" s="4"/>
      <c r="E24" s="4"/>
      <c r="F24" s="4"/>
      <c r="G24" s="4"/>
      <c r="H24" s="4"/>
      <c r="I24" s="4"/>
      <c r="J24" s="4"/>
      <c r="K24" s="4"/>
      <c r="L24" s="4">
        <f>IF(L$2&lt;$B24+Assumptions!$C$17,L$12/Assumptions!$C$17,0)</f>
        <v>56406567.740000002</v>
      </c>
      <c r="M24" s="4">
        <f>IF(M$2&lt;$B24+Assumptions!$C$17,L$12/Assumptions!$C$17,0)</f>
        <v>56406567.740000002</v>
      </c>
    </row>
    <row r="25" spans="2:21" x14ac:dyDescent="0.25">
      <c r="B25" s="42">
        <f t="shared" si="4"/>
        <v>2025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>IF(M$2&lt;$B25+Assumptions!$C$17,M$12/Assumptions!$C$17,0)</f>
        <v>58098764.772199996</v>
      </c>
    </row>
    <row r="27" spans="2:21" x14ac:dyDescent="0.25">
      <c r="B27" s="2" t="s">
        <v>4</v>
      </c>
      <c r="C27" s="4">
        <f>SUM(C15:C25)</f>
        <v>23553333.333333332</v>
      </c>
      <c r="D27" s="4">
        <f t="shared" ref="D27:M27" si="5">SUM(D15:D25)</f>
        <v>51873333.333333328</v>
      </c>
      <c r="E27" s="4">
        <f t="shared" si="5"/>
        <v>84621333.333333328</v>
      </c>
      <c r="F27" s="4">
        <f t="shared" si="5"/>
        <v>97034666.666666657</v>
      </c>
      <c r="G27" s="4">
        <f t="shared" si="5"/>
        <v>106381333.33333331</v>
      </c>
      <c r="H27" s="4">
        <f t="shared" si="5"/>
        <v>120233333.33333333</v>
      </c>
      <c r="I27" s="4">
        <f t="shared" si="5"/>
        <v>137420000</v>
      </c>
      <c r="J27" s="4">
        <f t="shared" si="5"/>
        <v>152921933.33333334</v>
      </c>
      <c r="K27" s="4">
        <f t="shared" si="5"/>
        <v>161085591.33333334</v>
      </c>
      <c r="L27" s="4">
        <f t="shared" si="5"/>
        <v>164338825.74000001</v>
      </c>
      <c r="M27" s="4">
        <f t="shared" si="5"/>
        <v>169268990.5122</v>
      </c>
    </row>
    <row r="28" spans="2:21" x14ac:dyDescent="0.25">
      <c r="C28" s="4"/>
      <c r="D28" s="4"/>
      <c r="E28" s="4"/>
      <c r="F28" s="4"/>
      <c r="G28" s="4"/>
      <c r="H28" s="4"/>
      <c r="I28" s="4"/>
    </row>
    <row r="29" spans="2:21" x14ac:dyDescent="0.25">
      <c r="B29" s="2" t="s">
        <v>5</v>
      </c>
    </row>
    <row r="30" spans="2:21" x14ac:dyDescent="0.25">
      <c r="B30" s="3" t="str">
        <f>+B7</f>
        <v>N/A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T30" s="4"/>
      <c r="U30" s="4"/>
    </row>
    <row r="31" spans="2:21" x14ac:dyDescent="0.25"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T31" s="4"/>
      <c r="U31" s="4"/>
    </row>
    <row r="32" spans="2:21" x14ac:dyDescent="0.25">
      <c r="T32" s="4"/>
      <c r="U32" s="4"/>
    </row>
    <row r="33" spans="2:21" x14ac:dyDescent="0.25">
      <c r="B33" s="10" t="s">
        <v>2</v>
      </c>
      <c r="C33" s="4">
        <f t="shared" ref="C33:M33" si="6">SUM(C30:C32)</f>
        <v>0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0</v>
      </c>
      <c r="I33" s="4">
        <f t="shared" si="6"/>
        <v>0</v>
      </c>
      <c r="J33" s="4">
        <f t="shared" si="6"/>
        <v>0</v>
      </c>
      <c r="K33" s="4">
        <f t="shared" si="6"/>
        <v>0</v>
      </c>
      <c r="L33" s="4">
        <f t="shared" si="6"/>
        <v>0</v>
      </c>
      <c r="M33" s="4">
        <f t="shared" si="6"/>
        <v>0</v>
      </c>
      <c r="T33" s="4"/>
      <c r="U33" s="4"/>
    </row>
    <row r="34" spans="2:21" x14ac:dyDescent="0.25">
      <c r="T34" s="4"/>
      <c r="U34" s="4"/>
    </row>
    <row r="35" spans="2:21" x14ac:dyDescent="0.25">
      <c r="B35" s="23" t="s">
        <v>6</v>
      </c>
      <c r="C35" s="24">
        <f t="shared" ref="C35:M35" si="7">+C33+C27</f>
        <v>23553333.333333332</v>
      </c>
      <c r="D35" s="24">
        <f t="shared" si="7"/>
        <v>51873333.333333328</v>
      </c>
      <c r="E35" s="24">
        <f t="shared" si="7"/>
        <v>84621333.333333328</v>
      </c>
      <c r="F35" s="24">
        <f t="shared" si="7"/>
        <v>97034666.666666657</v>
      </c>
      <c r="G35" s="24">
        <f t="shared" si="7"/>
        <v>106381333.33333331</v>
      </c>
      <c r="H35" s="24">
        <f t="shared" si="7"/>
        <v>120233333.33333333</v>
      </c>
      <c r="I35" s="24">
        <f t="shared" si="7"/>
        <v>137420000</v>
      </c>
      <c r="J35" s="24">
        <f t="shared" si="7"/>
        <v>152921933.33333334</v>
      </c>
      <c r="K35" s="24">
        <f t="shared" si="7"/>
        <v>161085591.33333334</v>
      </c>
      <c r="L35" s="24">
        <f t="shared" si="7"/>
        <v>164338825.74000001</v>
      </c>
      <c r="M35" s="24">
        <f t="shared" si="7"/>
        <v>169268990.5122</v>
      </c>
      <c r="T35" s="4"/>
      <c r="U35" s="4"/>
    </row>
    <row r="36" spans="2:21" x14ac:dyDescent="0.25">
      <c r="C36" s="7"/>
      <c r="D36" s="7"/>
      <c r="E36" s="7"/>
      <c r="F36" s="7"/>
      <c r="G36" s="7"/>
      <c r="H36" s="7"/>
    </row>
    <row r="37" spans="2:2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40" spans="2:21" x14ac:dyDescent="0.25">
      <c r="C40" s="7"/>
      <c r="D40" s="7"/>
      <c r="E40" s="7"/>
      <c r="F40" s="7"/>
      <c r="G40" s="7"/>
    </row>
    <row r="41" spans="2:21" x14ac:dyDescent="0.25">
      <c r="C41" s="7"/>
      <c r="D41" s="7"/>
      <c r="E41" s="7"/>
      <c r="F41" s="7"/>
      <c r="G4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691E-AA94-4AE4-946F-A8EBDDF6494C}">
  <sheetPr>
    <tabColor theme="9" tint="0.39997558519241921"/>
  </sheetPr>
  <dimension ref="B2:U6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0" sqref="C20"/>
    </sheetView>
  </sheetViews>
  <sheetFormatPr defaultColWidth="9.140625" defaultRowHeight="15" x14ac:dyDescent="0.25"/>
  <cols>
    <col min="1" max="1" width="9.140625" style="1"/>
    <col min="2" max="2" width="34.5703125" style="1" customWidth="1"/>
    <col min="3" max="6" width="16.5703125" style="1" bestFit="1" customWidth="1"/>
    <col min="7" max="7" width="17.85546875" style="1" bestFit="1" customWidth="1"/>
    <col min="8" max="8" width="16.7109375" style="1" bestFit="1" customWidth="1"/>
    <col min="9" max="13" width="17.85546875" style="1" bestFit="1" customWidth="1"/>
    <col min="14" max="14" width="12.42578125" style="1" bestFit="1" customWidth="1"/>
    <col min="15" max="15" width="48.85546875" style="1" bestFit="1" customWidth="1"/>
    <col min="16" max="16" width="12.42578125" style="1" bestFit="1" customWidth="1"/>
    <col min="17" max="19" width="9.140625" style="1"/>
    <col min="20" max="20" width="15.42578125" style="1" bestFit="1" customWidth="1"/>
    <col min="21" max="21" width="13.7109375" style="1" bestFit="1" customWidth="1"/>
    <col min="22" max="16384" width="9.140625" style="1"/>
  </cols>
  <sheetData>
    <row r="2" spans="2:21" x14ac:dyDescent="0.25">
      <c r="B2" s="9" t="str">
        <f ca="1">MID(CELL("filename",A1),FIND("]",CELL("filename",A1))+1,256)</f>
        <v>Facilities</v>
      </c>
      <c r="C2" s="41">
        <f t="shared" ref="C2:F2" si="0">+D2-1</f>
        <v>2015</v>
      </c>
      <c r="D2" s="41">
        <f t="shared" si="0"/>
        <v>2016</v>
      </c>
      <c r="E2" s="41">
        <f t="shared" si="0"/>
        <v>2017</v>
      </c>
      <c r="F2" s="41">
        <f t="shared" si="0"/>
        <v>2018</v>
      </c>
      <c r="G2" s="41">
        <v>2019</v>
      </c>
      <c r="H2" s="41">
        <f>+G2+1</f>
        <v>2020</v>
      </c>
      <c r="I2" s="41">
        <f t="shared" ref="I2:M2" si="1">+H2+1</f>
        <v>2021</v>
      </c>
      <c r="J2" s="41">
        <f t="shared" si="1"/>
        <v>2022</v>
      </c>
      <c r="K2" s="41">
        <f t="shared" si="1"/>
        <v>2023</v>
      </c>
      <c r="L2" s="41">
        <f t="shared" si="1"/>
        <v>2024</v>
      </c>
      <c r="M2" s="41">
        <f t="shared" si="1"/>
        <v>2025</v>
      </c>
    </row>
    <row r="3" spans="2:21" x14ac:dyDescent="0.25"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21" x14ac:dyDescent="0.25">
      <c r="B4" s="2" t="s">
        <v>12</v>
      </c>
      <c r="C4" s="4">
        <f>'PWD CIP'!C$42</f>
        <v>125000000</v>
      </c>
      <c r="D4" s="4">
        <f>'PWD CIP'!D$42</f>
        <v>109893000</v>
      </c>
      <c r="E4" s="4">
        <f>'PWD CIP'!E$42</f>
        <v>110000000</v>
      </c>
      <c r="F4" s="4">
        <f>'PWD CIP'!F$42</f>
        <v>120000000</v>
      </c>
      <c r="G4" s="4">
        <f>'PWD CIP'!G$42</f>
        <v>120000000</v>
      </c>
      <c r="H4" s="4">
        <f>'PWD CIP'!H$42</f>
        <v>120000000</v>
      </c>
      <c r="I4" s="4">
        <f>'PWD CIP'!I$42</f>
        <v>328000000</v>
      </c>
      <c r="J4" s="4">
        <f>'PWD CIP'!J$42</f>
        <v>266976000</v>
      </c>
      <c r="K4" s="4">
        <f>'PWD CIP'!K$42</f>
        <v>378210850</v>
      </c>
      <c r="L4" s="4">
        <f>'PWD CIP'!L$42</f>
        <v>207836675.40000001</v>
      </c>
      <c r="M4" s="4">
        <f>'PWD CIP'!M$42</f>
        <v>339003253.57199997</v>
      </c>
    </row>
    <row r="5" spans="2:21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1" x14ac:dyDescent="0.25">
      <c r="B6" s="2" t="s">
        <v>29</v>
      </c>
    </row>
    <row r="7" spans="2:21" x14ac:dyDescent="0.25">
      <c r="B7" s="3" t="s">
        <v>34</v>
      </c>
      <c r="C7" s="4">
        <f>+'Water Master Plan'!C17</f>
        <v>0</v>
      </c>
      <c r="D7" s="4">
        <f>+'Water Master Plan'!D17</f>
        <v>0</v>
      </c>
      <c r="E7" s="4">
        <f>+'Water Master Plan'!E17</f>
        <v>0</v>
      </c>
      <c r="F7" s="4">
        <f>+'Water Master Plan'!F17</f>
        <v>0</v>
      </c>
      <c r="G7" s="4">
        <f>+'Water Master Plan'!G17</f>
        <v>50000000</v>
      </c>
      <c r="H7" s="4">
        <f>+'Water Master Plan'!H17</f>
        <v>50000000</v>
      </c>
      <c r="I7" s="4">
        <f>+'Water Master Plan'!I17</f>
        <v>75000000</v>
      </c>
      <c r="J7" s="4">
        <f>+'Water Master Plan'!J17</f>
        <v>153691000</v>
      </c>
      <c r="K7" s="4">
        <f>+'Water Master Plan'!K17</f>
        <v>208483000</v>
      </c>
      <c r="L7" s="4">
        <f>+'Water Master Plan'!L17</f>
        <v>87653000</v>
      </c>
      <c r="M7" s="4">
        <f>+'Water Master Plan'!M17</f>
        <v>271490000</v>
      </c>
      <c r="O7" s="1" t="s">
        <v>9</v>
      </c>
      <c r="T7" s="4"/>
      <c r="U7" s="4"/>
    </row>
    <row r="8" spans="2:21" x14ac:dyDescent="0.25">
      <c r="B8" s="3" t="s">
        <v>7</v>
      </c>
      <c r="C8" s="4">
        <f>+'Water Master Plan'!C18</f>
        <v>0</v>
      </c>
      <c r="D8" s="4">
        <f>+'Water Master Plan'!D18</f>
        <v>0</v>
      </c>
      <c r="E8" s="4">
        <f>+'Water Master Plan'!E18</f>
        <v>0</v>
      </c>
      <c r="F8" s="4">
        <f>+'Water Master Plan'!F18</f>
        <v>0</v>
      </c>
      <c r="G8" s="4">
        <f>+'Water Master Plan'!G18</f>
        <v>0</v>
      </c>
      <c r="H8" s="4">
        <f>+'Water Master Plan'!H18</f>
        <v>0</v>
      </c>
      <c r="I8" s="4">
        <f>+'Water Master Plan'!I18</f>
        <v>53000000</v>
      </c>
      <c r="J8" s="4">
        <f>+'Water Master Plan'!J18</f>
        <v>0</v>
      </c>
      <c r="K8" s="4">
        <f>+'Water Master Plan'!K18</f>
        <v>0</v>
      </c>
      <c r="L8" s="4">
        <f>+'Water Master Plan'!L18</f>
        <v>0</v>
      </c>
      <c r="M8" s="4">
        <f>+'Water Master Plan'!M18</f>
        <v>0</v>
      </c>
      <c r="O8" s="1" t="s">
        <v>9</v>
      </c>
      <c r="T8" s="4"/>
    </row>
    <row r="9" spans="2:21" x14ac:dyDescent="0.25">
      <c r="B9" s="3"/>
    </row>
    <row r="10" spans="2:21" x14ac:dyDescent="0.25">
      <c r="B10" s="10" t="s">
        <v>2</v>
      </c>
      <c r="C10" s="4">
        <f t="shared" ref="C10:M10" si="2">SUM(C7:C9)</f>
        <v>0</v>
      </c>
      <c r="D10" s="4">
        <f t="shared" si="2"/>
        <v>0</v>
      </c>
      <c r="E10" s="4">
        <f t="shared" si="2"/>
        <v>0</v>
      </c>
      <c r="F10" s="4">
        <f t="shared" si="2"/>
        <v>0</v>
      </c>
      <c r="G10" s="4">
        <f t="shared" si="2"/>
        <v>50000000</v>
      </c>
      <c r="H10" s="4">
        <f t="shared" si="2"/>
        <v>50000000</v>
      </c>
      <c r="I10" s="4">
        <f t="shared" si="2"/>
        <v>128000000</v>
      </c>
      <c r="J10" s="4">
        <f t="shared" si="2"/>
        <v>153691000</v>
      </c>
      <c r="K10" s="4">
        <f t="shared" si="2"/>
        <v>208483000</v>
      </c>
      <c r="L10" s="4">
        <f t="shared" si="2"/>
        <v>87653000</v>
      </c>
      <c r="M10" s="4">
        <f t="shared" si="2"/>
        <v>271490000</v>
      </c>
    </row>
    <row r="12" spans="2:21" x14ac:dyDescent="0.25">
      <c r="B12" s="2" t="s">
        <v>30</v>
      </c>
      <c r="C12" s="4">
        <f t="shared" ref="C12:M12" si="3">+C4-C10</f>
        <v>125000000</v>
      </c>
      <c r="D12" s="4">
        <f t="shared" si="3"/>
        <v>109893000</v>
      </c>
      <c r="E12" s="4">
        <f t="shared" si="3"/>
        <v>110000000</v>
      </c>
      <c r="F12" s="4">
        <f t="shared" si="3"/>
        <v>120000000</v>
      </c>
      <c r="G12" s="4">
        <f t="shared" si="3"/>
        <v>70000000</v>
      </c>
      <c r="H12" s="4">
        <f t="shared" si="3"/>
        <v>70000000</v>
      </c>
      <c r="I12" s="4">
        <f t="shared" si="3"/>
        <v>200000000</v>
      </c>
      <c r="J12" s="4">
        <f t="shared" si="3"/>
        <v>113285000</v>
      </c>
      <c r="K12" s="4">
        <f t="shared" si="3"/>
        <v>169727850</v>
      </c>
      <c r="L12" s="4">
        <f t="shared" si="3"/>
        <v>120183675.40000001</v>
      </c>
      <c r="M12" s="4">
        <f t="shared" si="3"/>
        <v>67513253.571999967</v>
      </c>
    </row>
    <row r="14" spans="2:21" x14ac:dyDescent="0.25">
      <c r="B14" s="35" t="s">
        <v>55</v>
      </c>
      <c r="C14" s="37" t="str">
        <f>" Assumed duration of "&amp;FIXED(Assumptions!$C$18,0,0)&amp;" years for "&amp;Assumptions!$B$18&amp;" capital improvements"</f>
        <v xml:space="preserve"> Assumed duration of 5 years for Facilities capital improvements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2:21" x14ac:dyDescent="0.25">
      <c r="B15" s="42">
        <f>C2</f>
        <v>2015</v>
      </c>
      <c r="C15" s="4">
        <f>IF(C$2&lt;$B15+Assumptions!$C$18,C$12/Assumptions!$C$18,0)</f>
        <v>25000000</v>
      </c>
      <c r="D15" s="4">
        <f>IF(D$2&lt;$B15+Assumptions!$C$18,C$12/Assumptions!$C$18,0)</f>
        <v>25000000</v>
      </c>
      <c r="E15" s="4">
        <f>IF(E$2&lt;$B15+Assumptions!$C$18,C$12/Assumptions!$C$18,0)</f>
        <v>25000000</v>
      </c>
      <c r="F15" s="4">
        <f>IF(F$2&lt;$B15+Assumptions!$C$18,C$12/Assumptions!$C$18,0)</f>
        <v>25000000</v>
      </c>
      <c r="G15" s="4">
        <f>IF(G$2&lt;$B15+Assumptions!$C$18,C$12/Assumptions!$C$18,0)</f>
        <v>25000000</v>
      </c>
      <c r="H15" s="4">
        <f>IF(H$2&lt;$B15+Assumptions!$C$18,C$12/Assumptions!$C$18,0)</f>
        <v>0</v>
      </c>
      <c r="I15" s="4">
        <f>IF(I$2&lt;$B15+Assumptions!$C$18,C$12/Assumptions!$C$18,0)</f>
        <v>0</v>
      </c>
      <c r="J15" s="4">
        <f>IF(J$2&lt;$B15+Assumptions!$C$18,C$12/Assumptions!$C$18,0)</f>
        <v>0</v>
      </c>
      <c r="K15" s="4">
        <f>IF(K$2&lt;$B15+Assumptions!$C$18,C$12/Assumptions!$C$18,0)</f>
        <v>0</v>
      </c>
      <c r="L15" s="4">
        <f>IF(L$2&lt;$B15+Assumptions!$C$18,C$12/Assumptions!$C$18,0)</f>
        <v>0</v>
      </c>
      <c r="M15" s="4">
        <f>IF(M$2&lt;$B15+Assumptions!$C$18,C$12/Assumptions!$C$18,0)</f>
        <v>0</v>
      </c>
    </row>
    <row r="16" spans="2:21" x14ac:dyDescent="0.25">
      <c r="B16" s="42">
        <f>B15+1</f>
        <v>2016</v>
      </c>
      <c r="C16" s="4"/>
      <c r="D16" s="4">
        <f>IF(D$2&lt;$B16+Assumptions!$C$18,D$12/Assumptions!$C$18,0)</f>
        <v>21978600</v>
      </c>
      <c r="E16" s="4">
        <f>IF(E$2&lt;$B16+Assumptions!$C$18,D$12/Assumptions!$C$18,0)</f>
        <v>21978600</v>
      </c>
      <c r="F16" s="4">
        <f>IF(F$2&lt;$B16+Assumptions!$C$18,D$12/Assumptions!$C$18,0)</f>
        <v>21978600</v>
      </c>
      <c r="G16" s="4">
        <f>IF(G$2&lt;$B16+Assumptions!$C$18,D$12/Assumptions!$C$18,0)</f>
        <v>21978600</v>
      </c>
      <c r="H16" s="4">
        <f>IF(H$2&lt;$B16+Assumptions!$C$18,D$12/Assumptions!$C$18,0)</f>
        <v>21978600</v>
      </c>
      <c r="I16" s="4">
        <f>IF(I$2&lt;$B16+Assumptions!$C$18,D$12/Assumptions!$C$18,0)</f>
        <v>0</v>
      </c>
      <c r="J16" s="4">
        <f>IF(J$2&lt;$B16+Assumptions!$C$18,D$12/Assumptions!$C$18,0)</f>
        <v>0</v>
      </c>
      <c r="K16" s="4">
        <f>IF(K$2&lt;$B16+Assumptions!$C$18,D$12/Assumptions!$C$18,0)</f>
        <v>0</v>
      </c>
      <c r="L16" s="4">
        <f>IF(L$2&lt;$B16+Assumptions!$C$18,D$12/Assumptions!$C$18,0)</f>
        <v>0</v>
      </c>
      <c r="M16" s="4">
        <f>IF(M$2&lt;$B16+Assumptions!$C$18,D$12/Assumptions!$C$18,0)</f>
        <v>0</v>
      </c>
    </row>
    <row r="17" spans="2:21" x14ac:dyDescent="0.25">
      <c r="B17" s="42">
        <f t="shared" ref="B17:B25" si="4">B16+1</f>
        <v>2017</v>
      </c>
      <c r="C17" s="4"/>
      <c r="D17" s="4"/>
      <c r="E17" s="4">
        <f>IF(E$2&lt;$B17+Assumptions!$C$18,E$12/Assumptions!$C$18,0)</f>
        <v>22000000</v>
      </c>
      <c r="F17" s="4">
        <f>IF(F$2&lt;$B17+Assumptions!$C$18,E$12/Assumptions!$C$18,0)</f>
        <v>22000000</v>
      </c>
      <c r="G17" s="4">
        <f>IF(G$2&lt;$B17+Assumptions!$C$18,E$12/Assumptions!$C$18,0)</f>
        <v>22000000</v>
      </c>
      <c r="H17" s="4">
        <f>IF(H$2&lt;$B17+Assumptions!$C$18,E$12/Assumptions!$C$18,0)</f>
        <v>22000000</v>
      </c>
      <c r="I17" s="4">
        <f>IF(I$2&lt;$B17+Assumptions!$C$18,E$12/Assumptions!$C$18,0)</f>
        <v>22000000</v>
      </c>
      <c r="J17" s="4">
        <f>IF(J$2&lt;$B17+Assumptions!$C$18,E$12/Assumptions!$C$18,0)</f>
        <v>0</v>
      </c>
      <c r="K17" s="4">
        <f>IF(K$2&lt;$B17+Assumptions!$C$18,E$12/Assumptions!$C$18,0)</f>
        <v>0</v>
      </c>
      <c r="L17" s="4">
        <f>IF(L$2&lt;$B17+Assumptions!$C$18,E$12/Assumptions!$C$18,0)</f>
        <v>0</v>
      </c>
      <c r="M17" s="4">
        <f>IF(M$2&lt;$B17+Assumptions!$C$18,E$12/Assumptions!$C$18,0)</f>
        <v>0</v>
      </c>
    </row>
    <row r="18" spans="2:21" x14ac:dyDescent="0.25">
      <c r="B18" s="42">
        <f t="shared" si="4"/>
        <v>2018</v>
      </c>
      <c r="C18" s="4"/>
      <c r="D18" s="4"/>
      <c r="E18" s="4"/>
      <c r="F18" s="4">
        <f>IF(F$2&lt;$B18+Assumptions!$C$18,F$12/Assumptions!$C$18,0)</f>
        <v>24000000</v>
      </c>
      <c r="G18" s="4">
        <f>IF(G$2&lt;$B18+Assumptions!$C$18,F$12/Assumptions!$C$18,0)</f>
        <v>24000000</v>
      </c>
      <c r="H18" s="4">
        <f>IF(H$2&lt;$B18+Assumptions!$C$18,F$12/Assumptions!$C$18,0)</f>
        <v>24000000</v>
      </c>
      <c r="I18" s="4">
        <f>IF(I$2&lt;$B18+Assumptions!$C$18,F$12/Assumptions!$C$18,0)</f>
        <v>24000000</v>
      </c>
      <c r="J18" s="4">
        <f>IF(J$2&lt;$B18+Assumptions!$C$18,F$12/Assumptions!$C$18,0)</f>
        <v>24000000</v>
      </c>
      <c r="K18" s="4">
        <f>IF(K$2&lt;$B18+Assumptions!$C$18,F$12/Assumptions!$C$18,0)</f>
        <v>0</v>
      </c>
      <c r="L18" s="4">
        <f>IF(L$2&lt;$B18+Assumptions!$C$18,F$12/Assumptions!$C$18,0)</f>
        <v>0</v>
      </c>
      <c r="M18" s="4">
        <f>IF(M$2&lt;$B18+Assumptions!$C$18,F$12/Assumptions!$C$18,0)</f>
        <v>0</v>
      </c>
    </row>
    <row r="19" spans="2:21" x14ac:dyDescent="0.25">
      <c r="B19" s="42">
        <f t="shared" si="4"/>
        <v>2019</v>
      </c>
      <c r="C19" s="4"/>
      <c r="D19" s="4"/>
      <c r="E19" s="4"/>
      <c r="F19" s="4"/>
      <c r="G19" s="4">
        <f>IF(G$2&lt;$B19+Assumptions!$C$18,G$12/Assumptions!$C$18,0)</f>
        <v>14000000</v>
      </c>
      <c r="H19" s="4">
        <f>IF(H$2&lt;$B19+Assumptions!$C$18,G$12/Assumptions!$C$18,0)</f>
        <v>14000000</v>
      </c>
      <c r="I19" s="4">
        <f>IF(I$2&lt;$B19+Assumptions!$C$18,G$12/Assumptions!$C$18,0)</f>
        <v>14000000</v>
      </c>
      <c r="J19" s="4">
        <f>IF(J$2&lt;$B19+Assumptions!$C$18,G$12/Assumptions!$C$18,0)</f>
        <v>14000000</v>
      </c>
      <c r="K19" s="4">
        <f>IF(K$2&lt;$B19+Assumptions!$C$18,G$12/Assumptions!$C$18,0)</f>
        <v>14000000</v>
      </c>
      <c r="L19" s="4">
        <f>IF(L$2&lt;$B19+Assumptions!$C$18,G$12/Assumptions!$C$18,0)</f>
        <v>0</v>
      </c>
      <c r="M19" s="4">
        <f>IF(M$2&lt;$B19+Assumptions!$C$18,G$12/Assumptions!$C$18,0)</f>
        <v>0</v>
      </c>
    </row>
    <row r="20" spans="2:21" x14ac:dyDescent="0.25">
      <c r="B20" s="42">
        <f t="shared" si="4"/>
        <v>2020</v>
      </c>
      <c r="C20" s="4"/>
      <c r="D20" s="4"/>
      <c r="E20" s="4"/>
      <c r="F20" s="4"/>
      <c r="G20" s="4"/>
      <c r="H20" s="4">
        <f>IF(H$2&lt;$B20+Assumptions!$C$18,H$12/Assumptions!$C$18,0)</f>
        <v>14000000</v>
      </c>
      <c r="I20" s="4">
        <f>IF(I$2&lt;$B20+Assumptions!$C$18,H$12/Assumptions!$C$18,0)</f>
        <v>14000000</v>
      </c>
      <c r="J20" s="4">
        <f>IF(J$2&lt;$B20+Assumptions!$C$18,H$12/Assumptions!$C$18,0)</f>
        <v>14000000</v>
      </c>
      <c r="K20" s="4">
        <f>IF(K$2&lt;$B20+Assumptions!$C$18,H$12/Assumptions!$C$18,0)</f>
        <v>14000000</v>
      </c>
      <c r="L20" s="4">
        <f>IF(L$2&lt;$B20+Assumptions!$C$18,H$12/Assumptions!$C$18,0)</f>
        <v>14000000</v>
      </c>
      <c r="M20" s="4">
        <f>IF(M$2&lt;$B20+Assumptions!$C$18,H$12/Assumptions!$C$18,0)</f>
        <v>0</v>
      </c>
    </row>
    <row r="21" spans="2:21" x14ac:dyDescent="0.25">
      <c r="B21" s="42">
        <f t="shared" si="4"/>
        <v>2021</v>
      </c>
      <c r="C21" s="4"/>
      <c r="D21" s="4"/>
      <c r="E21" s="4"/>
      <c r="F21" s="4"/>
      <c r="G21" s="4"/>
      <c r="H21" s="4"/>
      <c r="I21" s="4">
        <f>IF(I$2&lt;$B21+Assumptions!$C$18,I$12/Assumptions!$C$18,0)</f>
        <v>40000000</v>
      </c>
      <c r="J21" s="4">
        <f>IF(J$2&lt;$B21+Assumptions!$C$18,I$12/Assumptions!$C$18,0)</f>
        <v>40000000</v>
      </c>
      <c r="K21" s="4">
        <f>IF(K$2&lt;$B21+Assumptions!$C$18,I$12/Assumptions!$C$18,0)</f>
        <v>40000000</v>
      </c>
      <c r="L21" s="4">
        <f>IF(L$2&lt;$B21+Assumptions!$C$18,I$12/Assumptions!$C$18,0)</f>
        <v>40000000</v>
      </c>
      <c r="M21" s="4">
        <f>IF(M$2&lt;$B21+Assumptions!$C$18,I$12/Assumptions!$C$18,0)</f>
        <v>40000000</v>
      </c>
    </row>
    <row r="22" spans="2:21" x14ac:dyDescent="0.25">
      <c r="B22" s="42">
        <f t="shared" si="4"/>
        <v>2022</v>
      </c>
      <c r="C22" s="4"/>
      <c r="D22" s="4"/>
      <c r="E22" s="4"/>
      <c r="F22" s="4"/>
      <c r="G22" s="4"/>
      <c r="H22" s="4"/>
      <c r="I22" s="4"/>
      <c r="J22" s="4">
        <f>IF(J$2&lt;$B22+Assumptions!$C$18,J$12/Assumptions!$C$18,0)</f>
        <v>22657000</v>
      </c>
      <c r="K22" s="4">
        <f>IF(K$2&lt;$B22+Assumptions!$C$18,J$12/Assumptions!$C$18,0)</f>
        <v>22657000</v>
      </c>
      <c r="L22" s="4">
        <f>IF(L$2&lt;$B22+Assumptions!$C$18,J$12/Assumptions!$C$18,0)</f>
        <v>22657000</v>
      </c>
      <c r="M22" s="4">
        <f>IF(M$2&lt;$B22+Assumptions!$C$18,J$12/Assumptions!$C$18,0)</f>
        <v>22657000</v>
      </c>
    </row>
    <row r="23" spans="2:21" x14ac:dyDescent="0.25">
      <c r="B23" s="42">
        <f t="shared" si="4"/>
        <v>2023</v>
      </c>
      <c r="C23" s="4"/>
      <c r="D23" s="4"/>
      <c r="E23" s="4"/>
      <c r="F23" s="4"/>
      <c r="G23" s="4"/>
      <c r="H23" s="4"/>
      <c r="I23" s="4"/>
      <c r="J23" s="4"/>
      <c r="K23" s="4">
        <f>IF(K$2&lt;$B23+Assumptions!$C$18,K$12/Assumptions!$C$18,0)</f>
        <v>33945570</v>
      </c>
      <c r="L23" s="4">
        <f>IF(L$2&lt;$B23+Assumptions!$C$18,K$12/Assumptions!$C$18,0)</f>
        <v>33945570</v>
      </c>
      <c r="M23" s="4">
        <f>IF(M$2&lt;$B23+Assumptions!$C$18,K$12/Assumptions!$C$18,0)</f>
        <v>33945570</v>
      </c>
    </row>
    <row r="24" spans="2:21" x14ac:dyDescent="0.25">
      <c r="B24" s="42">
        <f t="shared" si="4"/>
        <v>2024</v>
      </c>
      <c r="C24" s="4"/>
      <c r="D24" s="4"/>
      <c r="E24" s="4"/>
      <c r="F24" s="4"/>
      <c r="G24" s="4"/>
      <c r="H24" s="4"/>
      <c r="I24" s="4"/>
      <c r="J24" s="4"/>
      <c r="K24" s="4"/>
      <c r="L24" s="4">
        <f>IF(L$2&lt;$B24+Assumptions!$C$18,L$12/Assumptions!$C$18,0)</f>
        <v>24036735.080000002</v>
      </c>
      <c r="M24" s="4">
        <f>IF(M$2&lt;$B24+Assumptions!$C$18,L$12/Assumptions!$C$18,0)</f>
        <v>24036735.080000002</v>
      </c>
    </row>
    <row r="25" spans="2:21" x14ac:dyDescent="0.25">
      <c r="B25" s="42">
        <f t="shared" si="4"/>
        <v>2025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>IF(M$2&lt;$B25+Assumptions!$C$18,M$12/Assumptions!$C$18,0)</f>
        <v>13502650.714399993</v>
      </c>
    </row>
    <row r="27" spans="2:21" x14ac:dyDescent="0.25">
      <c r="B27" s="2" t="s">
        <v>4</v>
      </c>
      <c r="C27" s="4">
        <f>SUM(C15:C25)</f>
        <v>25000000</v>
      </c>
      <c r="D27" s="4">
        <f t="shared" ref="D27:M27" si="5">SUM(D15:D25)</f>
        <v>46978600</v>
      </c>
      <c r="E27" s="4">
        <f t="shared" si="5"/>
        <v>68978600</v>
      </c>
      <c r="F27" s="4">
        <f t="shared" si="5"/>
        <v>92978600</v>
      </c>
      <c r="G27" s="4">
        <f t="shared" si="5"/>
        <v>106978600</v>
      </c>
      <c r="H27" s="4">
        <f t="shared" si="5"/>
        <v>95978600</v>
      </c>
      <c r="I27" s="4">
        <f t="shared" si="5"/>
        <v>114000000</v>
      </c>
      <c r="J27" s="4">
        <f t="shared" si="5"/>
        <v>114657000</v>
      </c>
      <c r="K27" s="4">
        <f t="shared" si="5"/>
        <v>124602570</v>
      </c>
      <c r="L27" s="4">
        <f t="shared" si="5"/>
        <v>134639305.08000001</v>
      </c>
      <c r="M27" s="4">
        <f t="shared" si="5"/>
        <v>134141955.79439999</v>
      </c>
    </row>
    <row r="28" spans="2:21" x14ac:dyDescent="0.25">
      <c r="G28" s="8"/>
      <c r="H28" s="8"/>
      <c r="I28" s="8"/>
      <c r="J28" s="8"/>
      <c r="K28" s="8"/>
      <c r="L28" s="8"/>
      <c r="M28" s="8"/>
    </row>
    <row r="29" spans="2:21" x14ac:dyDescent="0.25">
      <c r="B29" s="2" t="s">
        <v>31</v>
      </c>
    </row>
    <row r="30" spans="2:21" x14ac:dyDescent="0.25">
      <c r="B30" s="3" t="str">
        <f>+B7</f>
        <v>Water Master Plan (Facilities excluding Torresdale PS Renab)</v>
      </c>
      <c r="C30" s="4">
        <f>+'Water Master Plan'!C38</f>
        <v>0</v>
      </c>
      <c r="D30" s="4">
        <f>+'Water Master Plan'!D38</f>
        <v>0</v>
      </c>
      <c r="E30" s="4">
        <f>+'Water Master Plan'!E38</f>
        <v>0</v>
      </c>
      <c r="F30" s="4">
        <f>+'Water Master Plan'!F38</f>
        <v>0</v>
      </c>
      <c r="G30" s="4">
        <f>+'Water Master Plan'!G38</f>
        <v>50000000</v>
      </c>
      <c r="H30" s="4">
        <f>+'Water Master Plan'!H38</f>
        <v>50000000</v>
      </c>
      <c r="I30" s="4">
        <f>+'Water Master Plan'!I38</f>
        <v>75000000</v>
      </c>
      <c r="J30" s="4">
        <f>+'Water Master Plan'!J38</f>
        <v>140644000</v>
      </c>
      <c r="K30" s="4">
        <f>+'Water Master Plan'!K38</f>
        <v>145182000</v>
      </c>
      <c r="L30" s="4">
        <f>+'Water Master Plan'!L38</f>
        <v>154309000</v>
      </c>
      <c r="M30" s="4">
        <f>+'Water Master Plan'!M38</f>
        <v>127611000</v>
      </c>
      <c r="O30" s="1" t="s">
        <v>9</v>
      </c>
      <c r="T30" s="4"/>
      <c r="U30" s="4"/>
    </row>
    <row r="31" spans="2:21" x14ac:dyDescent="0.25">
      <c r="B31" s="3" t="str">
        <f>+B8</f>
        <v>PENNVEST - Torresdale PS Rehab</v>
      </c>
      <c r="C31" s="4">
        <f>+'Water Master Plan'!C39</f>
        <v>0</v>
      </c>
      <c r="D31" s="4">
        <f>+'Water Master Plan'!D39</f>
        <v>0</v>
      </c>
      <c r="E31" s="4">
        <f>+'Water Master Plan'!E39</f>
        <v>0</v>
      </c>
      <c r="F31" s="4">
        <f>+'Water Master Plan'!F39</f>
        <v>0</v>
      </c>
      <c r="G31" s="4">
        <f>+'Water Master Plan'!G39</f>
        <v>0</v>
      </c>
      <c r="H31" s="4">
        <f>+'Water Master Plan'!H39</f>
        <v>0</v>
      </c>
      <c r="I31" s="4">
        <f>+'Water Master Plan'!I39</f>
        <v>26500000</v>
      </c>
      <c r="J31" s="4">
        <f>+'Water Master Plan'!J39</f>
        <v>27295000</v>
      </c>
      <c r="K31" s="4">
        <f>+'Water Master Plan'!K39</f>
        <v>0</v>
      </c>
      <c r="L31" s="4">
        <f>+'Water Master Plan'!L39</f>
        <v>0</v>
      </c>
      <c r="M31" s="4">
        <f>+'Water Master Plan'!M39</f>
        <v>0</v>
      </c>
      <c r="O31" s="1" t="s">
        <v>9</v>
      </c>
      <c r="T31" s="4"/>
      <c r="U31" s="4"/>
    </row>
    <row r="33" spans="2:13" x14ac:dyDescent="0.25">
      <c r="B33" s="10" t="s">
        <v>2</v>
      </c>
      <c r="C33" s="4">
        <f t="shared" ref="C33:M33" si="6">SUM(C30:C32)</f>
        <v>0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50000000</v>
      </c>
      <c r="H33" s="4">
        <f t="shared" si="6"/>
        <v>50000000</v>
      </c>
      <c r="I33" s="4">
        <f t="shared" si="6"/>
        <v>101500000</v>
      </c>
      <c r="J33" s="4">
        <f t="shared" si="6"/>
        <v>167939000</v>
      </c>
      <c r="K33" s="4">
        <f t="shared" si="6"/>
        <v>145182000</v>
      </c>
      <c r="L33" s="4">
        <f t="shared" si="6"/>
        <v>154309000</v>
      </c>
      <c r="M33" s="4">
        <f t="shared" si="6"/>
        <v>127611000</v>
      </c>
    </row>
    <row r="35" spans="2:13" x14ac:dyDescent="0.25">
      <c r="B35" s="23" t="s">
        <v>6</v>
      </c>
      <c r="C35" s="24">
        <f t="shared" ref="C35:M35" si="7">+C33+C27</f>
        <v>25000000</v>
      </c>
      <c r="D35" s="24">
        <f t="shared" si="7"/>
        <v>46978600</v>
      </c>
      <c r="E35" s="24">
        <f t="shared" si="7"/>
        <v>68978600</v>
      </c>
      <c r="F35" s="24">
        <f t="shared" si="7"/>
        <v>92978600</v>
      </c>
      <c r="G35" s="24">
        <f t="shared" si="7"/>
        <v>156978600</v>
      </c>
      <c r="H35" s="24">
        <f t="shared" si="7"/>
        <v>145978600</v>
      </c>
      <c r="I35" s="24">
        <f t="shared" si="7"/>
        <v>215500000</v>
      </c>
      <c r="J35" s="24">
        <f t="shared" si="7"/>
        <v>282596000</v>
      </c>
      <c r="K35" s="24">
        <f t="shared" si="7"/>
        <v>269784570</v>
      </c>
      <c r="L35" s="24">
        <f t="shared" si="7"/>
        <v>288948305.08000004</v>
      </c>
      <c r="M35" s="24">
        <f t="shared" si="7"/>
        <v>261752955.79439998</v>
      </c>
    </row>
    <row r="36" spans="2:13" s="16" customFormat="1" x14ac:dyDescent="0.25">
      <c r="C36" s="20"/>
      <c r="D36" s="20"/>
      <c r="E36" s="20"/>
      <c r="F36" s="20"/>
      <c r="G36" s="20"/>
      <c r="H36" s="20"/>
    </row>
    <row r="37" spans="2:13" s="16" customFormat="1" x14ac:dyDescent="0.2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s="16" customFormat="1" x14ac:dyDescent="0.25"/>
    <row r="39" spans="2:13" s="16" customFormat="1" x14ac:dyDescent="0.25">
      <c r="C39" s="21"/>
      <c r="D39" s="21"/>
      <c r="E39" s="21"/>
      <c r="F39" s="21"/>
      <c r="G39" s="21"/>
    </row>
    <row r="40" spans="2:13" s="16" customFormat="1" x14ac:dyDescent="0.25">
      <c r="C40" s="20"/>
      <c r="D40" s="20"/>
      <c r="E40" s="20"/>
      <c r="F40" s="20"/>
      <c r="G40" s="20"/>
    </row>
    <row r="41" spans="2:13" s="16" customFormat="1" x14ac:dyDescent="0.25">
      <c r="C41" s="20"/>
      <c r="D41" s="20"/>
      <c r="E41" s="20"/>
      <c r="F41" s="20"/>
      <c r="G41" s="20"/>
    </row>
    <row r="44" spans="2:13" s="16" customFormat="1" x14ac:dyDescent="0.2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2:13" s="16" customFormat="1" x14ac:dyDescent="0.25"/>
    <row r="46" spans="2:13" s="16" customFormat="1" x14ac:dyDescent="0.25"/>
    <row r="47" spans="2:13" s="16" customFormat="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s="16" customFormat="1" x14ac:dyDescent="0.25"/>
    <row r="49" spans="2:16" s="16" customFormat="1" x14ac:dyDescent="0.25">
      <c r="B49" s="18"/>
    </row>
    <row r="50" spans="2:16" s="16" customFormat="1" x14ac:dyDescent="0.25">
      <c r="B50" s="19"/>
      <c r="C50" s="17"/>
    </row>
    <row r="51" spans="2:16" s="16" customFormat="1" x14ac:dyDescent="0.25">
      <c r="B51" s="19"/>
      <c r="C51" s="17"/>
      <c r="D51" s="17"/>
    </row>
    <row r="52" spans="2:16" s="16" customFormat="1" x14ac:dyDescent="0.25">
      <c r="B52" s="19"/>
      <c r="C52" s="17"/>
      <c r="D52" s="17"/>
      <c r="E52" s="17"/>
    </row>
    <row r="53" spans="2:16" s="16" customFormat="1" x14ac:dyDescent="0.25">
      <c r="B53" s="19"/>
      <c r="C53" s="17"/>
      <c r="D53" s="17"/>
      <c r="E53" s="17"/>
      <c r="F53" s="17"/>
    </row>
    <row r="54" spans="2:16" s="16" customFormat="1" x14ac:dyDescent="0.25">
      <c r="B54" s="19"/>
      <c r="C54" s="17"/>
      <c r="D54" s="17"/>
      <c r="E54" s="17"/>
      <c r="F54" s="17"/>
      <c r="G54" s="17"/>
    </row>
    <row r="55" spans="2:16" s="16" customFormat="1" x14ac:dyDescent="0.25">
      <c r="B55" s="19"/>
      <c r="D55" s="17"/>
      <c r="E55" s="17"/>
      <c r="F55" s="17"/>
      <c r="G55" s="17"/>
      <c r="H55" s="17"/>
    </row>
    <row r="56" spans="2:16" s="16" customFormat="1" x14ac:dyDescent="0.25">
      <c r="B56" s="19"/>
      <c r="E56" s="17"/>
      <c r="F56" s="17"/>
      <c r="G56" s="17"/>
      <c r="H56" s="17"/>
      <c r="I56" s="17"/>
    </row>
    <row r="57" spans="2:16" s="16" customFormat="1" x14ac:dyDescent="0.25">
      <c r="B57" s="19"/>
      <c r="F57" s="17"/>
      <c r="G57" s="17"/>
      <c r="H57" s="17"/>
      <c r="I57" s="17"/>
      <c r="J57" s="17"/>
      <c r="K57" s="17"/>
    </row>
    <row r="58" spans="2:16" s="16" customFormat="1" x14ac:dyDescent="0.25">
      <c r="B58" s="19"/>
      <c r="G58" s="17"/>
      <c r="H58" s="17"/>
      <c r="I58" s="17"/>
      <c r="J58" s="17"/>
      <c r="K58" s="17"/>
    </row>
    <row r="59" spans="2:16" s="16" customFormat="1" x14ac:dyDescent="0.25">
      <c r="B59" s="19"/>
      <c r="H59" s="17"/>
      <c r="I59" s="17"/>
      <c r="J59" s="17"/>
      <c r="K59" s="17"/>
      <c r="L59" s="17"/>
    </row>
    <row r="60" spans="2:16" s="16" customFormat="1" x14ac:dyDescent="0.25">
      <c r="B60" s="19"/>
      <c r="I60" s="17"/>
      <c r="J60" s="17"/>
      <c r="K60" s="17"/>
      <c r="L60" s="17"/>
      <c r="M60" s="17"/>
    </row>
    <row r="61" spans="2:16" s="16" customFormat="1" x14ac:dyDescent="0.25">
      <c r="B61" s="19"/>
      <c r="J61" s="17"/>
      <c r="K61" s="17"/>
      <c r="L61" s="17"/>
      <c r="M61" s="17"/>
    </row>
    <row r="62" spans="2:16" s="16" customFormat="1" x14ac:dyDescent="0.25">
      <c r="B62" s="19"/>
      <c r="K62" s="17"/>
      <c r="L62" s="17"/>
      <c r="M62" s="17"/>
      <c r="N62" s="17"/>
    </row>
    <row r="63" spans="2:16" s="16" customFormat="1" x14ac:dyDescent="0.25">
      <c r="B63" s="19"/>
      <c r="L63" s="17"/>
      <c r="M63" s="17"/>
      <c r="N63" s="17"/>
      <c r="O63" s="17"/>
      <c r="P63" s="17"/>
    </row>
    <row r="64" spans="2:16" s="16" customFormat="1" x14ac:dyDescent="0.25">
      <c r="B64" s="19"/>
      <c r="M64" s="17"/>
      <c r="N64" s="17"/>
      <c r="O64" s="17"/>
      <c r="P64" s="17"/>
    </row>
    <row r="65" spans="2:13" s="16" customFormat="1" x14ac:dyDescent="0.25">
      <c r="B65" s="19"/>
    </row>
    <row r="66" spans="2:13" s="16" customFormat="1" x14ac:dyDescent="0.25"/>
    <row r="67" spans="2:13" s="16" customFormat="1" x14ac:dyDescent="0.25"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2:13" s="16" customFormat="1" x14ac:dyDescent="0.25"/>
    <row r="69" spans="2:13" s="16" customFormat="1" x14ac:dyDescent="0.25">
      <c r="B69" s="1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3E7906506D264EA36A808B171362BC" ma:contentTypeVersion="" ma:contentTypeDescription="Create a new document." ma:contentTypeScope="" ma:versionID="111ef16cbef21c20bd59fa0f942d8a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05DB37-52E0-4F28-A3B9-111E353C81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5D839B-A520-4924-9C70-BD0BDAA18DA3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F33A7D6-81E1-4E05-9DC9-8962C1DE3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File Info</vt:lpstr>
      <vt:lpstr>Assumptions</vt:lpstr>
      <vt:lpstr>PWD CIP</vt:lpstr>
      <vt:lpstr>Water Master Plan</vt:lpstr>
      <vt:lpstr>Conveyance System</vt:lpstr>
      <vt:lpstr>Collector System</vt:lpstr>
      <vt:lpstr>Facilities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Jagt, Dave A.</dc:creator>
  <cp:lastModifiedBy>Merritt, Brian L.</cp:lastModifiedBy>
  <dcterms:created xsi:type="dcterms:W3CDTF">2019-11-06T16:07:58Z</dcterms:created>
  <dcterms:modified xsi:type="dcterms:W3CDTF">2020-02-18T20:24:57Z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0x010100DC3E7906506D264EA36A808B171362BC</vt:lpwstr>
  </property>
</Properties>
</file>