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6035" windowHeight="8220"/>
  </bookViews>
  <sheets>
    <sheet name="Direct" sheetId="1" r:id="rId1"/>
    <sheet name="Inter Dept" sheetId="2" r:id="rId2"/>
    <sheet name="Sheet3" sheetId="3" r:id="rId3"/>
  </sheets>
  <definedNames>
    <definedName name="_xlnm.Print_Area" localSheetId="0">Direct!$D$5:$Y$72</definedName>
    <definedName name="_xlnm.Print_Area" localSheetId="1">'Inter Dept'!$D$5:$Y$102</definedName>
    <definedName name="_xlnm.Print_Titles" localSheetId="0">Direct!$A:$C,Direct!$1:$4</definedName>
    <definedName name="_xlnm.Print_Titles" localSheetId="1">'Inter Dept'!$A:$C,'Inter Dept'!$1:$4</definedName>
  </definedNames>
  <calcPr calcId="145621"/>
</workbook>
</file>

<file path=xl/calcChain.xml><?xml version="1.0" encoding="utf-8"?>
<calcChain xmlns="http://schemas.openxmlformats.org/spreadsheetml/2006/main">
  <c r="W65" i="1" l="1"/>
  <c r="V65" i="1"/>
  <c r="W64" i="1"/>
  <c r="V64" i="1"/>
  <c r="W63" i="1"/>
  <c r="V63" i="1"/>
  <c r="W62" i="1"/>
  <c r="V62" i="1"/>
  <c r="W61" i="1"/>
  <c r="V61" i="1"/>
  <c r="W55" i="1"/>
  <c r="V55" i="1"/>
  <c r="W54" i="1"/>
  <c r="V54" i="1"/>
  <c r="W53" i="1"/>
  <c r="V53" i="1"/>
  <c r="W52" i="1"/>
  <c r="V52" i="1"/>
  <c r="W51" i="1"/>
  <c r="V51" i="1"/>
  <c r="W50" i="1"/>
  <c r="V50" i="1"/>
  <c r="W45" i="1"/>
  <c r="V45" i="1"/>
  <c r="W44" i="1"/>
  <c r="V44" i="1"/>
  <c r="W43" i="1"/>
  <c r="V43" i="1"/>
  <c r="W42" i="1"/>
  <c r="V42" i="1"/>
  <c r="W40" i="1"/>
  <c r="V39" i="1"/>
  <c r="W38" i="1"/>
  <c r="W33" i="1"/>
  <c r="V33" i="1"/>
  <c r="W32" i="1"/>
  <c r="V32" i="1"/>
  <c r="W31" i="1"/>
  <c r="V31" i="1"/>
  <c r="W30" i="1"/>
  <c r="V30" i="1"/>
  <c r="W28" i="1"/>
  <c r="V28" i="1"/>
  <c r="W29" i="1"/>
  <c r="V29" i="1"/>
  <c r="W23" i="1"/>
  <c r="V23" i="1"/>
  <c r="W22" i="1"/>
  <c r="V22" i="1"/>
  <c r="W21" i="1"/>
  <c r="V21" i="1"/>
  <c r="W20" i="1"/>
  <c r="V20" i="1"/>
  <c r="W17" i="1"/>
  <c r="V17" i="1"/>
  <c r="W12" i="1"/>
  <c r="V12" i="1"/>
  <c r="W11" i="1"/>
  <c r="V11" i="1"/>
  <c r="W10" i="1"/>
  <c r="V10" i="1"/>
  <c r="W9" i="1"/>
  <c r="V9" i="1"/>
  <c r="W8" i="1"/>
  <c r="V8" i="1"/>
  <c r="W7" i="1"/>
  <c r="V7" i="1"/>
  <c r="M3" i="1"/>
  <c r="G3" i="1" s="1"/>
  <c r="N3" i="1"/>
  <c r="H3" i="1" s="1"/>
  <c r="S3" i="1"/>
  <c r="R3" i="1" s="1"/>
  <c r="Q3" i="1" s="1"/>
  <c r="W95" i="2"/>
  <c r="W94" i="2"/>
  <c r="W93" i="2"/>
  <c r="W92" i="2"/>
  <c r="W85" i="2"/>
  <c r="W84" i="2"/>
  <c r="W83" i="2"/>
  <c r="W82" i="2"/>
  <c r="W81" i="2"/>
  <c r="W75" i="2"/>
  <c r="W74" i="2"/>
  <c r="W73" i="2"/>
  <c r="W70" i="2"/>
  <c r="W65" i="2"/>
  <c r="W64" i="2"/>
  <c r="W63" i="2"/>
  <c r="W62" i="2"/>
  <c r="W61" i="2"/>
  <c r="W60" i="2"/>
  <c r="W59" i="2"/>
  <c r="W57" i="2"/>
  <c r="W52" i="2"/>
  <c r="W51" i="2"/>
  <c r="W50" i="2"/>
  <c r="W48" i="2"/>
  <c r="W42" i="2"/>
  <c r="W41" i="2"/>
  <c r="W40" i="2"/>
  <c r="W37" i="2"/>
  <c r="W39" i="2"/>
  <c r="W38" i="2"/>
  <c r="W32" i="2"/>
  <c r="W31" i="2"/>
  <c r="W30" i="2"/>
  <c r="W29" i="2"/>
  <c r="W28" i="2"/>
  <c r="W27" i="2"/>
  <c r="W22" i="2"/>
  <c r="W21" i="2"/>
  <c r="W20" i="2"/>
  <c r="W19" i="2"/>
  <c r="W18" i="2"/>
  <c r="W12" i="2"/>
  <c r="W11" i="2"/>
  <c r="T3" i="2"/>
  <c r="V95" i="2"/>
  <c r="V94" i="2"/>
  <c r="V93" i="2"/>
  <c r="V92" i="2"/>
  <c r="V85" i="2"/>
  <c r="V84" i="2"/>
  <c r="V83" i="2"/>
  <c r="V82" i="2"/>
  <c r="V81" i="2"/>
  <c r="V75" i="2"/>
  <c r="V74" i="2"/>
  <c r="V73" i="2"/>
  <c r="V65" i="2"/>
  <c r="V64" i="2"/>
  <c r="V63" i="2"/>
  <c r="V62" i="2"/>
  <c r="V61" i="2"/>
  <c r="V60" i="2"/>
  <c r="V59" i="2"/>
  <c r="V58" i="2"/>
  <c r="V57" i="2"/>
  <c r="V52" i="2"/>
  <c r="V51" i="2"/>
  <c r="V50" i="2"/>
  <c r="V42" i="2"/>
  <c r="V41" i="2"/>
  <c r="V40" i="2"/>
  <c r="V39" i="2"/>
  <c r="V38" i="2"/>
  <c r="V37" i="2"/>
  <c r="V32" i="2"/>
  <c r="V31" i="2"/>
  <c r="V30" i="2"/>
  <c r="V29" i="2"/>
  <c r="V28" i="2"/>
  <c r="V27" i="2"/>
  <c r="V22" i="2"/>
  <c r="V21" i="2"/>
  <c r="V20" i="2"/>
  <c r="V19" i="2"/>
  <c r="V18" i="2"/>
  <c r="V12" i="2"/>
  <c r="V11" i="2"/>
  <c r="T65" i="1"/>
  <c r="S65" i="1"/>
  <c r="R65" i="1"/>
  <c r="Q65" i="1"/>
  <c r="P65" i="1"/>
  <c r="T64" i="1"/>
  <c r="S64" i="1"/>
  <c r="R64" i="1"/>
  <c r="Q64" i="1"/>
  <c r="P64" i="1"/>
  <c r="T63" i="1"/>
  <c r="S63" i="1"/>
  <c r="R63" i="1"/>
  <c r="Q63" i="1"/>
  <c r="P63" i="1"/>
  <c r="T62" i="1"/>
  <c r="S62" i="1"/>
  <c r="R62" i="1"/>
  <c r="Q62" i="1"/>
  <c r="P62" i="1"/>
  <c r="T61" i="1"/>
  <c r="S61" i="1"/>
  <c r="R61" i="1"/>
  <c r="Q61" i="1"/>
  <c r="P61" i="1"/>
  <c r="T60" i="1"/>
  <c r="S60" i="1"/>
  <c r="R60" i="1"/>
  <c r="P60" i="1"/>
  <c r="T55" i="1"/>
  <c r="S55" i="1"/>
  <c r="R55" i="1"/>
  <c r="Q55" i="1"/>
  <c r="P55" i="1"/>
  <c r="T54" i="1"/>
  <c r="S54" i="1"/>
  <c r="R54" i="1"/>
  <c r="Q54" i="1"/>
  <c r="P54" i="1"/>
  <c r="T53" i="1"/>
  <c r="S53" i="1"/>
  <c r="R53" i="1"/>
  <c r="Q53" i="1"/>
  <c r="P53" i="1"/>
  <c r="T52" i="1"/>
  <c r="S52" i="1"/>
  <c r="R52" i="1"/>
  <c r="Q52" i="1"/>
  <c r="P52" i="1"/>
  <c r="T51" i="1"/>
  <c r="S51" i="1"/>
  <c r="R51" i="1"/>
  <c r="Q51" i="1"/>
  <c r="P51" i="1"/>
  <c r="T50" i="1"/>
  <c r="S50" i="1"/>
  <c r="R50" i="1"/>
  <c r="Q50" i="1"/>
  <c r="P50" i="1"/>
  <c r="T45" i="1"/>
  <c r="S45" i="1"/>
  <c r="R45" i="1"/>
  <c r="Q45" i="1"/>
  <c r="P45" i="1"/>
  <c r="T44" i="1"/>
  <c r="S44" i="1"/>
  <c r="R44" i="1"/>
  <c r="Q44" i="1"/>
  <c r="P44" i="1"/>
  <c r="T43" i="1"/>
  <c r="S43" i="1"/>
  <c r="R43" i="1"/>
  <c r="Q43" i="1"/>
  <c r="P43" i="1"/>
  <c r="T42" i="1"/>
  <c r="S42" i="1"/>
  <c r="R42" i="1"/>
  <c r="Q42" i="1"/>
  <c r="P42" i="1"/>
  <c r="S41" i="1"/>
  <c r="R41" i="1"/>
  <c r="P41" i="1"/>
  <c r="T40" i="1"/>
  <c r="S40" i="1"/>
  <c r="R40" i="1"/>
  <c r="Q40" i="1"/>
  <c r="S39" i="1"/>
  <c r="R39" i="1"/>
  <c r="P39" i="1"/>
  <c r="T38" i="1"/>
  <c r="S38" i="1"/>
  <c r="R38" i="1"/>
  <c r="P38" i="1"/>
  <c r="T33" i="1"/>
  <c r="S33" i="1"/>
  <c r="R33" i="1"/>
  <c r="Q33" i="1"/>
  <c r="P33" i="1"/>
  <c r="T32" i="1"/>
  <c r="S32" i="1"/>
  <c r="R32" i="1"/>
  <c r="Q32" i="1"/>
  <c r="P32" i="1"/>
  <c r="T31" i="1"/>
  <c r="S31" i="1"/>
  <c r="R31" i="1"/>
  <c r="Q31" i="1"/>
  <c r="P31" i="1"/>
  <c r="T30" i="1"/>
  <c r="S30" i="1"/>
  <c r="R30" i="1"/>
  <c r="Q30" i="1"/>
  <c r="P30" i="1"/>
  <c r="T29" i="1"/>
  <c r="S29" i="1"/>
  <c r="R29" i="1"/>
  <c r="Q29" i="1"/>
  <c r="P29" i="1"/>
  <c r="T28" i="1"/>
  <c r="S28" i="1"/>
  <c r="R28" i="1"/>
  <c r="Q28" i="1"/>
  <c r="P28" i="1"/>
  <c r="T23" i="1"/>
  <c r="S23" i="1"/>
  <c r="R23" i="1"/>
  <c r="Q23" i="1"/>
  <c r="P23" i="1"/>
  <c r="T22" i="1"/>
  <c r="S22" i="1"/>
  <c r="R22" i="1"/>
  <c r="Q22" i="1"/>
  <c r="P22" i="1"/>
  <c r="T21" i="1"/>
  <c r="S21" i="1"/>
  <c r="R21" i="1"/>
  <c r="Q21" i="1"/>
  <c r="P21" i="1"/>
  <c r="T20" i="1"/>
  <c r="S20" i="1"/>
  <c r="R20" i="1"/>
  <c r="Q20" i="1"/>
  <c r="P20" i="1"/>
  <c r="T19" i="1"/>
  <c r="S19" i="1"/>
  <c r="R19" i="1"/>
  <c r="Q19" i="1"/>
  <c r="T17" i="1"/>
  <c r="S17" i="1"/>
  <c r="R17" i="1"/>
  <c r="Q17" i="1"/>
  <c r="P17" i="1"/>
  <c r="T12" i="1"/>
  <c r="S12" i="1"/>
  <c r="R12" i="1"/>
  <c r="Q12" i="1"/>
  <c r="P12" i="1"/>
  <c r="T11" i="1"/>
  <c r="S11" i="1"/>
  <c r="R11" i="1"/>
  <c r="Q11" i="1"/>
  <c r="P11" i="1"/>
  <c r="T10" i="1"/>
  <c r="S10" i="1"/>
  <c r="R10" i="1"/>
  <c r="Q10" i="1"/>
  <c r="P10" i="1"/>
  <c r="T9" i="1"/>
  <c r="S9" i="1"/>
  <c r="R9" i="1"/>
  <c r="Q9" i="1"/>
  <c r="P9" i="1"/>
  <c r="T8" i="1"/>
  <c r="S8" i="1"/>
  <c r="R8" i="1"/>
  <c r="Q8" i="1"/>
  <c r="P8" i="1"/>
  <c r="T7" i="1"/>
  <c r="S7" i="1"/>
  <c r="R7" i="1"/>
  <c r="Q7" i="1"/>
  <c r="P7" i="1"/>
  <c r="T95" i="2"/>
  <c r="S95" i="2"/>
  <c r="R95" i="2"/>
  <c r="Q95" i="2"/>
  <c r="P95" i="2"/>
  <c r="T94" i="2"/>
  <c r="S94" i="2"/>
  <c r="R94" i="2"/>
  <c r="Q94" i="2"/>
  <c r="P94" i="2"/>
  <c r="T93" i="2"/>
  <c r="S93" i="2"/>
  <c r="R93" i="2"/>
  <c r="Q93" i="2"/>
  <c r="P93" i="2"/>
  <c r="T92" i="2"/>
  <c r="S92" i="2"/>
  <c r="R92" i="2"/>
  <c r="Q92" i="2"/>
  <c r="P92" i="2"/>
  <c r="T91" i="2"/>
  <c r="S91" i="2"/>
  <c r="R91" i="2"/>
  <c r="Q91" i="2"/>
  <c r="T90" i="2"/>
  <c r="S90" i="2"/>
  <c r="R90" i="2"/>
  <c r="P90" i="2"/>
  <c r="T85" i="2"/>
  <c r="S85" i="2"/>
  <c r="R85" i="2"/>
  <c r="Q85" i="2"/>
  <c r="P85" i="2"/>
  <c r="T84" i="2"/>
  <c r="S84" i="2"/>
  <c r="R84" i="2"/>
  <c r="Q84" i="2"/>
  <c r="P84" i="2"/>
  <c r="T83" i="2"/>
  <c r="S83" i="2"/>
  <c r="R83" i="2"/>
  <c r="Q83" i="2"/>
  <c r="P83" i="2"/>
  <c r="T82" i="2"/>
  <c r="S82" i="2"/>
  <c r="R82" i="2"/>
  <c r="Q82" i="2"/>
  <c r="P82" i="2"/>
  <c r="T81" i="2"/>
  <c r="S81" i="2"/>
  <c r="R81" i="2"/>
  <c r="Q81" i="2"/>
  <c r="P81" i="2"/>
  <c r="T80" i="2"/>
  <c r="S80" i="2"/>
  <c r="R80" i="2"/>
  <c r="P80" i="2"/>
  <c r="T75" i="2"/>
  <c r="S75" i="2"/>
  <c r="R75" i="2"/>
  <c r="Q75" i="2"/>
  <c r="P75" i="2"/>
  <c r="T74" i="2"/>
  <c r="S74" i="2"/>
  <c r="R74" i="2"/>
  <c r="Q74" i="2"/>
  <c r="P74" i="2"/>
  <c r="T73" i="2"/>
  <c r="S73" i="2"/>
  <c r="R73" i="2"/>
  <c r="Q73" i="2"/>
  <c r="P73" i="2"/>
  <c r="T72" i="2"/>
  <c r="S72" i="2"/>
  <c r="R72" i="2"/>
  <c r="Q72" i="2"/>
  <c r="T71" i="2"/>
  <c r="S71" i="2"/>
  <c r="R71" i="2"/>
  <c r="Q71" i="2"/>
  <c r="T70" i="2"/>
  <c r="S70" i="2"/>
  <c r="R70" i="2"/>
  <c r="P70" i="2"/>
  <c r="T65" i="2"/>
  <c r="S65" i="2"/>
  <c r="R65" i="2"/>
  <c r="Q65" i="2"/>
  <c r="P65" i="2"/>
  <c r="T64" i="2"/>
  <c r="S64" i="2"/>
  <c r="R64" i="2"/>
  <c r="Q64" i="2"/>
  <c r="P64" i="2"/>
  <c r="T63" i="2"/>
  <c r="S63" i="2"/>
  <c r="R63" i="2"/>
  <c r="Q63" i="2"/>
  <c r="P63" i="2"/>
  <c r="T62" i="2"/>
  <c r="S62" i="2"/>
  <c r="R62" i="2"/>
  <c r="Q62" i="2"/>
  <c r="P62" i="2"/>
  <c r="T61" i="2"/>
  <c r="S61" i="2"/>
  <c r="R61" i="2"/>
  <c r="Q61" i="2"/>
  <c r="P61" i="2"/>
  <c r="T60" i="2"/>
  <c r="S60" i="2"/>
  <c r="R60" i="2"/>
  <c r="Q60" i="2"/>
  <c r="P60" i="2"/>
  <c r="T59" i="2"/>
  <c r="S59" i="2"/>
  <c r="R59" i="2"/>
  <c r="Q59" i="2"/>
  <c r="P59" i="2"/>
  <c r="S58" i="2"/>
  <c r="R58" i="2"/>
  <c r="Q58" i="2"/>
  <c r="P58" i="2"/>
  <c r="T57" i="2"/>
  <c r="S57" i="2"/>
  <c r="R57" i="2"/>
  <c r="Q57" i="2"/>
  <c r="P57" i="2"/>
  <c r="T52" i="2"/>
  <c r="S52" i="2"/>
  <c r="R52" i="2"/>
  <c r="Q52" i="2"/>
  <c r="P52" i="2"/>
  <c r="T51" i="2"/>
  <c r="S51" i="2"/>
  <c r="R51" i="2"/>
  <c r="Q51" i="2"/>
  <c r="P51" i="2"/>
  <c r="T50" i="2"/>
  <c r="S50" i="2"/>
  <c r="R50" i="2"/>
  <c r="Q50" i="2"/>
  <c r="P50" i="2"/>
  <c r="T49" i="2"/>
  <c r="S49" i="2"/>
  <c r="R49" i="2"/>
  <c r="Q49" i="2"/>
  <c r="T48" i="2"/>
  <c r="S48" i="2"/>
  <c r="R48" i="2"/>
  <c r="Q48" i="2"/>
  <c r="T47" i="2"/>
  <c r="S47" i="2"/>
  <c r="R47" i="2"/>
  <c r="P47" i="2"/>
  <c r="T42" i="2"/>
  <c r="S42" i="2"/>
  <c r="R42" i="2"/>
  <c r="Q42" i="2"/>
  <c r="P42" i="2"/>
  <c r="T41" i="2"/>
  <c r="S41" i="2"/>
  <c r="R41" i="2"/>
  <c r="Q41" i="2"/>
  <c r="P41" i="2"/>
  <c r="T40" i="2"/>
  <c r="S40" i="2"/>
  <c r="R40" i="2"/>
  <c r="Q40" i="2"/>
  <c r="P40" i="2"/>
  <c r="T39" i="2"/>
  <c r="S39" i="2"/>
  <c r="R39" i="2"/>
  <c r="Q39" i="2"/>
  <c r="P39" i="2"/>
  <c r="T38" i="2"/>
  <c r="S38" i="2"/>
  <c r="R38" i="2"/>
  <c r="Q38" i="2"/>
  <c r="P38" i="2"/>
  <c r="T37" i="2"/>
  <c r="S37" i="2"/>
  <c r="R37" i="2"/>
  <c r="Q37" i="2"/>
  <c r="P37" i="2"/>
  <c r="T32" i="2"/>
  <c r="S32" i="2"/>
  <c r="R32" i="2"/>
  <c r="Q32" i="2"/>
  <c r="P32" i="2"/>
  <c r="T31" i="2"/>
  <c r="S31" i="2"/>
  <c r="R31" i="2"/>
  <c r="Q31" i="2"/>
  <c r="P31" i="2"/>
  <c r="T30" i="2"/>
  <c r="S30" i="2"/>
  <c r="R30" i="2"/>
  <c r="Q30" i="2"/>
  <c r="P30" i="2"/>
  <c r="T29" i="2"/>
  <c r="S29" i="2"/>
  <c r="R29" i="2"/>
  <c r="Q29" i="2"/>
  <c r="P29" i="2"/>
  <c r="T28" i="2"/>
  <c r="S28" i="2"/>
  <c r="R28" i="2"/>
  <c r="Q28" i="2"/>
  <c r="P28" i="2"/>
  <c r="T27" i="2"/>
  <c r="S27" i="2"/>
  <c r="R27" i="2"/>
  <c r="Q27" i="2"/>
  <c r="P27" i="2"/>
  <c r="T22" i="2"/>
  <c r="S22" i="2"/>
  <c r="R22" i="2"/>
  <c r="Q22" i="2"/>
  <c r="P22" i="2"/>
  <c r="T21" i="2"/>
  <c r="S21" i="2"/>
  <c r="R21" i="2"/>
  <c r="Q21" i="2"/>
  <c r="P21" i="2"/>
  <c r="T20" i="2"/>
  <c r="S20" i="2"/>
  <c r="R20" i="2"/>
  <c r="Q20" i="2"/>
  <c r="P20" i="2"/>
  <c r="T19" i="2"/>
  <c r="S19" i="2"/>
  <c r="R19" i="2"/>
  <c r="Q19" i="2"/>
  <c r="P19" i="2"/>
  <c r="T18" i="2"/>
  <c r="S18" i="2"/>
  <c r="R18" i="2"/>
  <c r="Q18" i="2"/>
  <c r="P18" i="2"/>
  <c r="T17" i="2"/>
  <c r="S17" i="2"/>
  <c r="R17" i="2"/>
  <c r="P17" i="2"/>
  <c r="T12" i="2"/>
  <c r="S12" i="2"/>
  <c r="R12" i="2"/>
  <c r="Q12" i="2"/>
  <c r="P12" i="2"/>
  <c r="T11" i="2"/>
  <c r="S11" i="2"/>
  <c r="R11" i="2"/>
  <c r="Q11" i="2"/>
  <c r="P11" i="2"/>
  <c r="T8" i="2"/>
  <c r="S8" i="2"/>
  <c r="R8" i="2"/>
  <c r="Q8" i="2"/>
  <c r="T7" i="2"/>
  <c r="S7" i="2"/>
  <c r="R7" i="2"/>
  <c r="P7" i="2"/>
  <c r="N97" i="2"/>
  <c r="M97" i="2"/>
  <c r="L97" i="2"/>
  <c r="K97" i="2"/>
  <c r="H97" i="2"/>
  <c r="T97" i="2" s="1"/>
  <c r="G97" i="2"/>
  <c r="F97" i="2"/>
  <c r="D97" i="2"/>
  <c r="J91" i="2"/>
  <c r="J97" i="2" s="1"/>
  <c r="E90" i="2"/>
  <c r="E97" i="2" s="1"/>
  <c r="W97" i="2" s="1"/>
  <c r="N87" i="2"/>
  <c r="M87" i="2"/>
  <c r="L87" i="2"/>
  <c r="K87" i="2"/>
  <c r="J87" i="2"/>
  <c r="H87" i="2"/>
  <c r="G87" i="2"/>
  <c r="F87" i="2"/>
  <c r="D87" i="2"/>
  <c r="P87" i="2" s="1"/>
  <c r="E80" i="2"/>
  <c r="E87" i="2" s="1"/>
  <c r="N77" i="2"/>
  <c r="M77" i="2"/>
  <c r="L77" i="2"/>
  <c r="K77" i="2"/>
  <c r="H77" i="2"/>
  <c r="G77" i="2"/>
  <c r="F77" i="2"/>
  <c r="D77" i="2"/>
  <c r="J72" i="2"/>
  <c r="P72" i="2" s="1"/>
  <c r="J71" i="2"/>
  <c r="W71" i="2" s="1"/>
  <c r="E70" i="2"/>
  <c r="E77" i="2" s="1"/>
  <c r="N67" i="2"/>
  <c r="M67" i="2"/>
  <c r="L67" i="2"/>
  <c r="K67" i="2"/>
  <c r="J67" i="2"/>
  <c r="G67" i="2"/>
  <c r="F67" i="2"/>
  <c r="E67" i="2"/>
  <c r="Q67" i="2" s="1"/>
  <c r="D67" i="2"/>
  <c r="P67" i="2" s="1"/>
  <c r="H58" i="2"/>
  <c r="H67" i="2" s="1"/>
  <c r="T67" i="2" s="1"/>
  <c r="N54" i="2"/>
  <c r="M54" i="2"/>
  <c r="L54" i="2"/>
  <c r="K54" i="2"/>
  <c r="H54" i="2"/>
  <c r="G54" i="2"/>
  <c r="F54" i="2"/>
  <c r="R54" i="2" s="1"/>
  <c r="D54" i="2"/>
  <c r="J49" i="2"/>
  <c r="V49" i="2" s="1"/>
  <c r="J48" i="2"/>
  <c r="P48" i="2" s="1"/>
  <c r="E47" i="2"/>
  <c r="E54" i="2" s="1"/>
  <c r="N44" i="2"/>
  <c r="M44" i="2"/>
  <c r="L44" i="2"/>
  <c r="K44" i="2"/>
  <c r="J44" i="2"/>
  <c r="H44" i="2"/>
  <c r="G44" i="2"/>
  <c r="F44" i="2"/>
  <c r="E44" i="2"/>
  <c r="D44" i="2"/>
  <c r="W44" i="2" s="1"/>
  <c r="N34" i="2"/>
  <c r="M34" i="2"/>
  <c r="L34" i="2"/>
  <c r="K34" i="2"/>
  <c r="J34" i="2"/>
  <c r="H34" i="2"/>
  <c r="T34" i="2" s="1"/>
  <c r="G34" i="2"/>
  <c r="F34" i="2"/>
  <c r="E34" i="2"/>
  <c r="Q34" i="2" s="1"/>
  <c r="D34" i="2"/>
  <c r="P34" i="2" s="1"/>
  <c r="N24" i="2"/>
  <c r="M24" i="2"/>
  <c r="L24" i="2"/>
  <c r="K24" i="2"/>
  <c r="J24" i="2"/>
  <c r="H24" i="2"/>
  <c r="T24" i="2" s="1"/>
  <c r="G24" i="2"/>
  <c r="F24" i="2"/>
  <c r="D24" i="2"/>
  <c r="P24" i="2" s="1"/>
  <c r="E17" i="2"/>
  <c r="E24" i="2" s="1"/>
  <c r="W24" i="2" s="1"/>
  <c r="N14" i="2"/>
  <c r="M14" i="2"/>
  <c r="L14" i="2"/>
  <c r="K14" i="2"/>
  <c r="H10" i="2"/>
  <c r="T10" i="2" s="1"/>
  <c r="G10" i="2"/>
  <c r="F10" i="2"/>
  <c r="R10" i="2" s="1"/>
  <c r="E10" i="2"/>
  <c r="D10" i="2"/>
  <c r="P10" i="2" s="1"/>
  <c r="J9" i="2"/>
  <c r="H9" i="2"/>
  <c r="T9" i="2" s="1"/>
  <c r="G9" i="2"/>
  <c r="F9" i="2"/>
  <c r="E9" i="2"/>
  <c r="Q9" i="2" s="1"/>
  <c r="D9" i="2"/>
  <c r="W9" i="2" s="1"/>
  <c r="J8" i="2"/>
  <c r="P8" i="2" s="1"/>
  <c r="E7" i="2"/>
  <c r="W7" i="2" s="1"/>
  <c r="M3" i="2"/>
  <c r="L3" i="2" s="1"/>
  <c r="K3" i="2" s="1"/>
  <c r="J3" i="2" s="1"/>
  <c r="P3" i="2" s="1"/>
  <c r="D14" i="1"/>
  <c r="E14" i="1"/>
  <c r="F14" i="1"/>
  <c r="G14" i="1"/>
  <c r="H14" i="1"/>
  <c r="D18" i="1"/>
  <c r="D25" i="1" s="1"/>
  <c r="V25" i="1" s="1"/>
  <c r="E18" i="1"/>
  <c r="W18" i="1" s="1"/>
  <c r="F18" i="1"/>
  <c r="F25" i="1" s="1"/>
  <c r="G18" i="1"/>
  <c r="G25" i="1" s="1"/>
  <c r="H18" i="1"/>
  <c r="H25" i="1" s="1"/>
  <c r="E25" i="1"/>
  <c r="D35" i="1"/>
  <c r="W35" i="1" s="1"/>
  <c r="E35" i="1"/>
  <c r="F35" i="1"/>
  <c r="V35" i="1" s="1"/>
  <c r="G35" i="1"/>
  <c r="H35" i="1"/>
  <c r="E38" i="1"/>
  <c r="V38" i="1" s="1"/>
  <c r="D40" i="1"/>
  <c r="D47" i="1" s="1"/>
  <c r="F47" i="1"/>
  <c r="G47" i="1"/>
  <c r="H47" i="1"/>
  <c r="D57" i="1"/>
  <c r="W57" i="1" s="1"/>
  <c r="E57" i="1"/>
  <c r="F57" i="1"/>
  <c r="G57" i="1"/>
  <c r="H57" i="1"/>
  <c r="E60" i="1"/>
  <c r="E67" i="1" s="1"/>
  <c r="W67" i="1" s="1"/>
  <c r="D67" i="1"/>
  <c r="V67" i="1" s="1"/>
  <c r="F67" i="1"/>
  <c r="G67" i="1"/>
  <c r="H67" i="1"/>
  <c r="N67" i="1"/>
  <c r="M67" i="1"/>
  <c r="L67" i="1"/>
  <c r="K67" i="1"/>
  <c r="J67" i="1"/>
  <c r="N57" i="1"/>
  <c r="M57" i="1"/>
  <c r="L57" i="1"/>
  <c r="K57" i="1"/>
  <c r="J57" i="1"/>
  <c r="M47" i="1"/>
  <c r="L47" i="1"/>
  <c r="J47" i="1"/>
  <c r="N41" i="1"/>
  <c r="K41" i="1"/>
  <c r="Q41" i="1" s="1"/>
  <c r="N39" i="1"/>
  <c r="K39" i="1"/>
  <c r="Q39" i="1" s="1"/>
  <c r="N35" i="1"/>
  <c r="M35" i="1"/>
  <c r="L35" i="1"/>
  <c r="K35" i="1"/>
  <c r="J35" i="1"/>
  <c r="N25" i="1"/>
  <c r="J19" i="1"/>
  <c r="W19" i="1" s="1"/>
  <c r="M18" i="1"/>
  <c r="M25" i="1" s="1"/>
  <c r="L18" i="1"/>
  <c r="L25" i="1" s="1"/>
  <c r="K18" i="1"/>
  <c r="K25" i="1" s="1"/>
  <c r="J18" i="1"/>
  <c r="J25" i="1" s="1"/>
  <c r="N14" i="1"/>
  <c r="M14" i="1"/>
  <c r="L14" i="1"/>
  <c r="K14" i="1"/>
  <c r="J14" i="1"/>
  <c r="A67" i="1"/>
  <c r="A57" i="1"/>
  <c r="A47" i="1"/>
  <c r="A35" i="1"/>
  <c r="A25" i="1"/>
  <c r="A14" i="1"/>
  <c r="V14" i="1" l="1"/>
  <c r="W8" i="2"/>
  <c r="R87" i="2"/>
  <c r="W49" i="2"/>
  <c r="W87" i="2"/>
  <c r="V7" i="2"/>
  <c r="W10" i="2"/>
  <c r="W17" i="2"/>
  <c r="W72" i="2"/>
  <c r="W90" i="2"/>
  <c r="W34" i="2"/>
  <c r="W47" i="2"/>
  <c r="W58" i="2"/>
  <c r="W67" i="2"/>
  <c r="W80" i="2"/>
  <c r="W91" i="2"/>
  <c r="W25" i="1"/>
  <c r="W14" i="1"/>
  <c r="V19" i="1"/>
  <c r="V57" i="1"/>
  <c r="V18" i="1"/>
  <c r="V40" i="1"/>
  <c r="V60" i="1"/>
  <c r="W60" i="1"/>
  <c r="V41" i="1"/>
  <c r="W39" i="1"/>
  <c r="W41" i="1"/>
  <c r="L3" i="1"/>
  <c r="P3" i="1"/>
  <c r="Q14" i="1"/>
  <c r="P67" i="1"/>
  <c r="T67" i="1"/>
  <c r="E47" i="1"/>
  <c r="Q35" i="1"/>
  <c r="J69" i="1"/>
  <c r="T57" i="1"/>
  <c r="R14" i="1"/>
  <c r="P40" i="1"/>
  <c r="R25" i="1"/>
  <c r="L69" i="1"/>
  <c r="Q25" i="1"/>
  <c r="Q18" i="1"/>
  <c r="T14" i="1"/>
  <c r="P14" i="1"/>
  <c r="M69" i="1"/>
  <c r="R67" i="1"/>
  <c r="H69" i="1"/>
  <c r="T25" i="1"/>
  <c r="P25" i="1"/>
  <c r="P47" i="1"/>
  <c r="Q67" i="1"/>
  <c r="T18" i="1"/>
  <c r="R47" i="1"/>
  <c r="G69" i="1"/>
  <c r="S18" i="1"/>
  <c r="P19" i="1"/>
  <c r="P35" i="1"/>
  <c r="T35" i="1"/>
  <c r="Q38" i="1"/>
  <c r="T41" i="1"/>
  <c r="P57" i="1"/>
  <c r="Q60" i="1"/>
  <c r="S67" i="1"/>
  <c r="Q57" i="1"/>
  <c r="S14" i="1"/>
  <c r="S25" i="1"/>
  <c r="R35" i="1"/>
  <c r="T39" i="1"/>
  <c r="S47" i="1"/>
  <c r="R57" i="1"/>
  <c r="P18" i="1"/>
  <c r="N47" i="1"/>
  <c r="N69" i="1" s="1"/>
  <c r="F69" i="1"/>
  <c r="R18" i="1"/>
  <c r="S35" i="1"/>
  <c r="S57" i="1"/>
  <c r="V72" i="2"/>
  <c r="Q3" i="2"/>
  <c r="P44" i="2"/>
  <c r="T44" i="2"/>
  <c r="J77" i="2"/>
  <c r="P77" i="2" s="1"/>
  <c r="R3" i="2"/>
  <c r="S3" i="2"/>
  <c r="V9" i="2"/>
  <c r="Q54" i="2"/>
  <c r="Q87" i="2"/>
  <c r="T87" i="2"/>
  <c r="Q24" i="2"/>
  <c r="T54" i="2"/>
  <c r="S77" i="2"/>
  <c r="V90" i="2"/>
  <c r="V71" i="2"/>
  <c r="F14" i="2"/>
  <c r="R14" i="2" s="1"/>
  <c r="R77" i="2"/>
  <c r="T77" i="2"/>
  <c r="R97" i="2"/>
  <c r="Q97" i="2"/>
  <c r="Q44" i="2"/>
  <c r="S10" i="2"/>
  <c r="Q47" i="2"/>
  <c r="T58" i="2"/>
  <c r="P91" i="2"/>
  <c r="V47" i="2"/>
  <c r="R9" i="2"/>
  <c r="Q80" i="2"/>
  <c r="V17" i="2"/>
  <c r="V80" i="2"/>
  <c r="R44" i="2"/>
  <c r="P9" i="2"/>
  <c r="V24" i="2"/>
  <c r="V44" i="2"/>
  <c r="P97" i="2"/>
  <c r="R24" i="2"/>
  <c r="V91" i="2"/>
  <c r="H3" i="2"/>
  <c r="G3" i="2" s="1"/>
  <c r="F3" i="2" s="1"/>
  <c r="E3" i="2" s="1"/>
  <c r="D3" i="2" s="1"/>
  <c r="S44" i="2"/>
  <c r="V67" i="2"/>
  <c r="V70" i="2"/>
  <c r="V87" i="2"/>
  <c r="V97" i="2"/>
  <c r="J54" i="2"/>
  <c r="V54" i="2" s="1"/>
  <c r="Q7" i="2"/>
  <c r="S9" i="2"/>
  <c r="S54" i="2"/>
  <c r="N99" i="2"/>
  <c r="L99" i="2"/>
  <c r="Q10" i="2"/>
  <c r="Q17" i="2"/>
  <c r="S24" i="2"/>
  <c r="R34" i="2"/>
  <c r="P49" i="2"/>
  <c r="R67" i="2"/>
  <c r="P71" i="2"/>
  <c r="Q77" i="2"/>
  <c r="Q90" i="2"/>
  <c r="S97" i="2"/>
  <c r="Q70" i="2"/>
  <c r="V8" i="2"/>
  <c r="V10" i="2"/>
  <c r="V34" i="2"/>
  <c r="V48" i="2"/>
  <c r="D14" i="2"/>
  <c r="M99" i="2"/>
  <c r="K99" i="2"/>
  <c r="S87" i="2"/>
  <c r="S34" i="2"/>
  <c r="S67" i="2"/>
  <c r="J14" i="2"/>
  <c r="H14" i="2"/>
  <c r="G14" i="2"/>
  <c r="E14" i="2"/>
  <c r="D69" i="1"/>
  <c r="K47" i="1"/>
  <c r="V47" i="1" s="1"/>
  <c r="W77" i="2" l="1"/>
  <c r="V77" i="2"/>
  <c r="W14" i="2"/>
  <c r="W54" i="2"/>
  <c r="K3" i="1"/>
  <c r="F3" i="1"/>
  <c r="E69" i="1"/>
  <c r="W47" i="1"/>
  <c r="T69" i="1"/>
  <c r="T47" i="1"/>
  <c r="Q47" i="1"/>
  <c r="K69" i="1"/>
  <c r="P69" i="1"/>
  <c r="R69" i="1"/>
  <c r="S69" i="1"/>
  <c r="J99" i="2"/>
  <c r="F99" i="2"/>
  <c r="Q14" i="2"/>
  <c r="G99" i="2"/>
  <c r="S14" i="2"/>
  <c r="V14" i="2"/>
  <c r="P14" i="2"/>
  <c r="E99" i="2"/>
  <c r="H99" i="2"/>
  <c r="T99" i="2" s="1"/>
  <c r="T14" i="2"/>
  <c r="D99" i="2"/>
  <c r="R99" i="2"/>
  <c r="P54" i="2"/>
  <c r="W69" i="1" l="1"/>
  <c r="W99" i="2"/>
  <c r="Q69" i="1"/>
  <c r="V69" i="1"/>
  <c r="J3" i="1"/>
  <c r="D3" i="1" s="1"/>
  <c r="E3" i="1"/>
  <c r="S99" i="2"/>
  <c r="Q99" i="2"/>
  <c r="V99" i="2"/>
  <c r="P99" i="2"/>
</calcChain>
</file>

<file path=xl/comments1.xml><?xml version="1.0" encoding="utf-8"?>
<comments xmlns="http://schemas.openxmlformats.org/spreadsheetml/2006/main">
  <authors>
    <author>Dave Jagt</author>
    <author>Black &amp; Veatch</author>
  </authors>
  <commentList>
    <comment ref="G18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FY 2012 Budget input for Finance &amp; Admin excludes the $5.0 million budget amendment for the stormwater program.  This was the grants used to offset the CAP.  Excluded to avoid understating the actual to budget factors.
</t>
        </r>
      </text>
    </comment>
    <comment ref="J19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Excludes $2.0 million which was provided by one time funding (transfer from Operations)
$2.0 million included in adjustments to avoid impact on actual to budget ratios</t>
        </r>
      </text>
    </comment>
    <comment ref="B23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Includes 801 Payments to General Fund only</t>
        </r>
      </text>
    </comment>
    <comment ref="E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F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G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H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K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L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M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N28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E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F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G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H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K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L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M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  <comment ref="N50" authorId="1">
      <text>
        <r>
          <rPr>
            <b/>
            <sz val="9"/>
            <color indexed="81"/>
            <rFont val="Tahoma"/>
            <family val="2"/>
          </rPr>
          <t>Black &amp; Veatch:</t>
        </r>
        <r>
          <rPr>
            <sz val="9"/>
            <color indexed="81"/>
            <rFont val="Tahoma"/>
            <family val="2"/>
          </rPr>
          <t xml:space="preserve">
Adjusted historical budget and actual based on index codes included in FY 2016 Budget</t>
        </r>
      </text>
    </comment>
  </commentList>
</comments>
</file>

<file path=xl/comments2.xml><?xml version="1.0" encoding="utf-8"?>
<comments xmlns="http://schemas.openxmlformats.org/spreadsheetml/2006/main">
  <authors>
    <author>Dave Jagt</author>
  </authors>
  <commentList>
    <comment ref="K64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From FY 2016 Budget Report -  Human Resources </t>
        </r>
      </text>
    </comment>
    <comment ref="L64" authorId="0">
      <text>
        <r>
          <rPr>
            <b/>
            <sz val="9"/>
            <color indexed="81"/>
            <rFont val="Tahoma"/>
            <family val="2"/>
          </rPr>
          <t>Dave Jagt:</t>
        </r>
        <r>
          <rPr>
            <sz val="9"/>
            <color indexed="81"/>
            <rFont val="Tahoma"/>
            <family val="2"/>
          </rPr>
          <t xml:space="preserve">
From FY 2015 Budget Report -  Human Resources </t>
        </r>
      </text>
    </comment>
  </commentList>
</comments>
</file>

<file path=xl/sharedStrings.xml><?xml version="1.0" encoding="utf-8"?>
<sst xmlns="http://schemas.openxmlformats.org/spreadsheetml/2006/main" count="153" uniqueCount="55">
  <si>
    <t>Cost Center/Expense Class</t>
  </si>
  <si>
    <t>PWD Direct O&amp;M</t>
  </si>
  <si>
    <t>Human Resources and Administration</t>
  </si>
  <si>
    <t>Finance</t>
  </si>
  <si>
    <t>2xx</t>
  </si>
  <si>
    <t>SMIP/GARP</t>
  </si>
  <si>
    <t>Planning and Engineering</t>
  </si>
  <si>
    <t>Operations</t>
  </si>
  <si>
    <t>Planning &amp; Environmental Services</t>
  </si>
  <si>
    <t>Public Affairs</t>
  </si>
  <si>
    <t>Salaries &amp; Wages</t>
  </si>
  <si>
    <t>Services</t>
  </si>
  <si>
    <t>Power</t>
  </si>
  <si>
    <t>Materials and Supplies</t>
  </si>
  <si>
    <t>Chemicals</t>
  </si>
  <si>
    <t>Equipment</t>
  </si>
  <si>
    <t>Contributions</t>
  </si>
  <si>
    <t>Transfers</t>
  </si>
  <si>
    <t>Actual</t>
  </si>
  <si>
    <t>TOTAL Water Department</t>
  </si>
  <si>
    <t>PWD Inter Departmental O&amp;M</t>
  </si>
  <si>
    <t>Division of Technology</t>
  </si>
  <si>
    <t>Mayor's Office of Transportation &amp; Utilities</t>
  </si>
  <si>
    <t>Police</t>
  </si>
  <si>
    <t>Public Property</t>
  </si>
  <si>
    <t>Fleet Management</t>
  </si>
  <si>
    <t>City Finance</t>
  </si>
  <si>
    <t>1xx</t>
  </si>
  <si>
    <t>Pension</t>
  </si>
  <si>
    <t>Pension Obligations</t>
  </si>
  <si>
    <t>Revenue</t>
  </si>
  <si>
    <t>Procurement</t>
  </si>
  <si>
    <t>Law</t>
  </si>
  <si>
    <t>Subtotal Division of Technology</t>
  </si>
  <si>
    <t>Subtotal Mayor's Office of Transportation &amp; Utilities</t>
  </si>
  <si>
    <t>Subtotal Police</t>
  </si>
  <si>
    <t>Subtotal Public Property</t>
  </si>
  <si>
    <t>Subtotal Fleet Management</t>
  </si>
  <si>
    <t>Benefits</t>
  </si>
  <si>
    <t>Subtotal City Finance</t>
  </si>
  <si>
    <t>Subtotal Revenue</t>
  </si>
  <si>
    <t>Subtotal Procurement</t>
  </si>
  <si>
    <t>Subtotal Law</t>
  </si>
  <si>
    <t>Budget</t>
  </si>
  <si>
    <t>x</t>
  </si>
  <si>
    <t xml:space="preserve">Total Inter Departmental </t>
  </si>
  <si>
    <t>Actual / Budget Ratio</t>
  </si>
  <si>
    <t>Avg</t>
  </si>
  <si>
    <t>3 Year</t>
  </si>
  <si>
    <t>5 Year</t>
  </si>
  <si>
    <t>Notes:</t>
  </si>
  <si>
    <r>
      <t>USE</t>
    </r>
    <r>
      <rPr>
        <b/>
        <vertAlign val="superscript"/>
        <sz val="11"/>
        <rFont val="Arial Black"/>
        <family val="2"/>
      </rPr>
      <t>1</t>
    </r>
  </si>
  <si>
    <t xml:space="preserve">1.   Actual to Budget factors reflecting a 3-year average are shown in yellow and those not using </t>
  </si>
  <si>
    <t xml:space="preserve">        a 3-year average are shown in blue. </t>
  </si>
  <si>
    <t>PA-EXE-42 Response Attachment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</si>
</sst>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Black"/>
      <family val="2"/>
    </font>
    <font>
      <b/>
      <sz val="11"/>
      <color theme="0"/>
      <name val="Arial Black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0000FF"/>
      <name val="Arial Black"/>
      <family val="2"/>
    </font>
    <font>
      <sz val="11"/>
      <color rgb="FF0000FF"/>
      <name val="Calibri"/>
      <family val="2"/>
      <scheme val="minor"/>
    </font>
    <font>
      <b/>
      <vertAlign val="superscript"/>
      <sz val="1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2" applyFont="1"/>
    <xf numFmtId="0" fontId="4" fillId="0" borderId="0" xfId="2" applyFont="1" applyAlignment="1"/>
    <xf numFmtId="0" fontId="4" fillId="0" borderId="0" xfId="2" applyFont="1" applyAlignment="1">
      <alignment wrapText="1"/>
    </xf>
    <xf numFmtId="0" fontId="5" fillId="2" borderId="1" xfId="2" applyFont="1" applyFill="1" applyBorder="1"/>
    <xf numFmtId="0" fontId="2" fillId="2" borderId="1" xfId="2" applyFont="1" applyFill="1" applyBorder="1"/>
    <xf numFmtId="0" fontId="3" fillId="3" borderId="2" xfId="2" applyFont="1" applyFill="1" applyBorder="1"/>
    <xf numFmtId="0" fontId="1" fillId="3" borderId="2" xfId="2" applyFont="1" applyFill="1" applyBorder="1"/>
    <xf numFmtId="0" fontId="6" fillId="0" borderId="0" xfId="2" applyFo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left" indent="2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left" indent="2"/>
    </xf>
    <xf numFmtId="0" fontId="7" fillId="0" borderId="0" xfId="2" applyFont="1"/>
    <xf numFmtId="0" fontId="4" fillId="0" borderId="3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4" fillId="0" borderId="0" xfId="2" applyFont="1" applyAlignment="1">
      <alignment horizontal="center"/>
    </xf>
    <xf numFmtId="0" fontId="10" fillId="4" borderId="0" xfId="2" applyFont="1" applyFill="1" applyAlignment="1">
      <alignment horizontal="center"/>
    </xf>
    <xf numFmtId="164" fontId="11" fillId="4" borderId="0" xfId="3" applyNumberFormat="1" applyFont="1" applyFill="1"/>
    <xf numFmtId="165" fontId="11" fillId="4" borderId="0" xfId="4" applyNumberFormat="1" applyFont="1" applyFill="1"/>
    <xf numFmtId="164" fontId="6" fillId="0" borderId="4" xfId="2" applyNumberFormat="1" applyFont="1" applyBorder="1"/>
    <xf numFmtId="164" fontId="1" fillId="0" borderId="4" xfId="2" applyNumberFormat="1" applyFont="1" applyBorder="1"/>
    <xf numFmtId="164" fontId="1" fillId="0" borderId="0" xfId="2" applyNumberFormat="1" applyFont="1"/>
    <xf numFmtId="165" fontId="1" fillId="0" borderId="0" xfId="2" applyNumberFormat="1" applyFont="1"/>
    <xf numFmtId="164" fontId="0" fillId="0" borderId="0" xfId="0" applyNumberFormat="1"/>
    <xf numFmtId="0" fontId="6" fillId="0" borderId="0" xfId="2" applyFont="1" applyAlignment="1">
      <alignment horizontal="left"/>
    </xf>
    <xf numFmtId="43" fontId="1" fillId="3" borderId="2" xfId="2" applyNumberFormat="1" applyFont="1" applyFill="1" applyBorder="1"/>
    <xf numFmtId="164" fontId="1" fillId="0" borderId="0" xfId="2" applyNumberFormat="1" applyFont="1" applyBorder="1"/>
    <xf numFmtId="166" fontId="0" fillId="0" borderId="0" xfId="1" applyNumberFormat="1" applyFont="1"/>
    <xf numFmtId="10" fontId="11" fillId="5" borderId="0" xfId="4" applyNumberFormat="1" applyFont="1" applyFill="1"/>
    <xf numFmtId="10" fontId="11" fillId="4" borderId="0" xfId="4" applyNumberFormat="1" applyFont="1" applyFill="1"/>
    <xf numFmtId="0" fontId="3" fillId="0" borderId="0" xfId="0" applyFont="1"/>
  </cellXfs>
  <cellStyles count="5">
    <cellStyle name="Comma 10" xfId="4"/>
    <cellStyle name="Currency 15" xfId="3"/>
    <cellStyle name="Normal" xfId="0" builtinId="0"/>
    <cellStyle name="Normal 10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9"/>
  <sheetViews>
    <sheetView tabSelected="1" zoomScaleNormal="100" workbookViewId="0">
      <pane xSplit="3" ySplit="4" topLeftCell="O5" activePane="bottomRight" state="frozen"/>
      <selection pane="topRight" activeCell="D1" sqref="D1"/>
      <selection pane="bottomLeft" activeCell="A5" sqref="A5"/>
      <selection pane="bottomRight"/>
    </sheetView>
  </sheetViews>
  <sheetFormatPr defaultRowHeight="15" x14ac:dyDescent="0.25"/>
  <cols>
    <col min="3" max="3" width="27.85546875" customWidth="1"/>
    <col min="4" max="8" width="13.28515625" customWidth="1"/>
    <col min="9" max="9" width="5.7109375" customWidth="1"/>
    <col min="10" max="14" width="13.28515625" customWidth="1"/>
    <col min="15" max="15" width="5.7109375" customWidth="1"/>
    <col min="21" max="21" width="5.7109375" customWidth="1"/>
    <col min="24" max="24" width="5.7109375" customWidth="1"/>
  </cols>
  <sheetData>
    <row r="1" spans="1:25" x14ac:dyDescent="0.25">
      <c r="A1" s="31" t="s">
        <v>54</v>
      </c>
    </row>
    <row r="2" spans="1:25" ht="18.75" x14ac:dyDescent="0.4">
      <c r="A2" s="1"/>
      <c r="B2" s="1"/>
      <c r="C2" s="1"/>
      <c r="D2" s="14" t="s">
        <v>43</v>
      </c>
      <c r="E2" s="14"/>
      <c r="F2" s="15"/>
      <c r="G2" s="15"/>
      <c r="H2" s="15"/>
      <c r="I2" s="8"/>
      <c r="J2" s="14" t="s">
        <v>18</v>
      </c>
      <c r="K2" s="14"/>
      <c r="L2" s="14"/>
      <c r="M2" s="14"/>
      <c r="N2" s="14"/>
      <c r="P2" s="14" t="s">
        <v>46</v>
      </c>
      <c r="Q2" s="14"/>
      <c r="R2" s="15"/>
      <c r="S2" s="15"/>
      <c r="T2" s="15"/>
      <c r="V2" s="16" t="s">
        <v>48</v>
      </c>
      <c r="W2" s="16" t="s">
        <v>49</v>
      </c>
    </row>
    <row r="3" spans="1:25" ht="19.5" x14ac:dyDescent="0.4">
      <c r="A3" s="2" t="s">
        <v>0</v>
      </c>
      <c r="B3" s="3"/>
      <c r="C3" s="3"/>
      <c r="D3" s="16">
        <f>+J3</f>
        <v>2015</v>
      </c>
      <c r="E3" s="16">
        <f>+K3</f>
        <v>2014</v>
      </c>
      <c r="F3" s="16">
        <f>+L3</f>
        <v>2013</v>
      </c>
      <c r="G3" s="16">
        <f>+M3</f>
        <v>2012</v>
      </c>
      <c r="H3" s="16">
        <f>+N3</f>
        <v>2011</v>
      </c>
      <c r="I3" s="13"/>
      <c r="J3" s="16">
        <f t="shared" ref="J3:L3" si="0">+K3+1</f>
        <v>2015</v>
      </c>
      <c r="K3" s="16">
        <f t="shared" si="0"/>
        <v>2014</v>
      </c>
      <c r="L3" s="16">
        <f t="shared" si="0"/>
        <v>2013</v>
      </c>
      <c r="M3" s="16">
        <f>+S3</f>
        <v>2012</v>
      </c>
      <c r="N3" s="16">
        <f>+T3</f>
        <v>2011</v>
      </c>
      <c r="P3" s="16">
        <f t="shared" ref="P3" si="1">+Q3+1</f>
        <v>2015</v>
      </c>
      <c r="Q3" s="16">
        <f t="shared" ref="Q3" si="2">+R3+1</f>
        <v>2014</v>
      </c>
      <c r="R3" s="16">
        <f t="shared" ref="R3" si="3">+S3+1</f>
        <v>2013</v>
      </c>
      <c r="S3" s="16">
        <f t="shared" ref="S3" si="4">+T3+1</f>
        <v>2012</v>
      </c>
      <c r="T3" s="17">
        <v>2011</v>
      </c>
      <c r="V3" s="16" t="s">
        <v>47</v>
      </c>
      <c r="W3" s="16" t="s">
        <v>47</v>
      </c>
      <c r="Y3" s="16" t="s">
        <v>51</v>
      </c>
    </row>
    <row r="4" spans="1:25" ht="18.75" x14ac:dyDescent="0.4">
      <c r="A4" s="3"/>
      <c r="B4" s="3"/>
      <c r="C4" s="3"/>
      <c r="D4" s="16"/>
      <c r="E4" s="16"/>
      <c r="F4" s="16"/>
      <c r="G4" s="16"/>
      <c r="H4" s="16"/>
      <c r="I4" s="13"/>
      <c r="J4" s="16"/>
      <c r="K4" s="16"/>
      <c r="L4" s="16"/>
      <c r="M4" s="16"/>
      <c r="N4" s="16"/>
    </row>
    <row r="5" spans="1:25" ht="18.75" x14ac:dyDescent="0.4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thickBot="1" x14ac:dyDescent="0.3">
      <c r="A6" s="6" t="s">
        <v>2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8"/>
      <c r="B7" s="9">
        <v>100</v>
      </c>
      <c r="C7" s="8" t="s">
        <v>10</v>
      </c>
      <c r="D7" s="18">
        <v>8673039</v>
      </c>
      <c r="E7" s="18">
        <v>7860450</v>
      </c>
      <c r="F7" s="18">
        <v>7726550</v>
      </c>
      <c r="G7" s="18">
        <v>7533950</v>
      </c>
      <c r="H7" s="18">
        <v>7512500</v>
      </c>
      <c r="I7" s="1"/>
      <c r="J7" s="18">
        <v>8502816</v>
      </c>
      <c r="K7" s="18">
        <v>7650763</v>
      </c>
      <c r="L7" s="18">
        <v>6911366</v>
      </c>
      <c r="M7" s="18">
        <v>6591224</v>
      </c>
      <c r="N7" s="18">
        <v>6782159</v>
      </c>
      <c r="P7" s="28">
        <f t="shared" ref="P7:T12" si="5">IF(D7=0,"",+J7/D7)</f>
        <v>0.98037331551259022</v>
      </c>
      <c r="Q7" s="28">
        <f t="shared" si="5"/>
        <v>0.97332379189486606</v>
      </c>
      <c r="R7" s="28">
        <f t="shared" si="5"/>
        <v>0.89449573224789847</v>
      </c>
      <c r="S7" s="28">
        <f t="shared" si="5"/>
        <v>0.87486962350427067</v>
      </c>
      <c r="T7" s="28">
        <f t="shared" si="5"/>
        <v>0.90278322795341093</v>
      </c>
      <c r="V7" s="28">
        <f t="shared" ref="V7:V12" si="6">IF(SUM(D7:F7)=0,"",SUM(J7:L7)/SUM(D7:F7))</f>
        <v>0.95073816657920462</v>
      </c>
      <c r="W7" s="28">
        <f t="shared" ref="W7:W12" si="7">IF(SUM(D7:H7)=0,"",SUM(J7:N7)/SUM(D7:H7))</f>
        <v>0.92703085233585736</v>
      </c>
      <c r="Y7" s="29">
        <v>1</v>
      </c>
    </row>
    <row r="8" spans="1:25" x14ac:dyDescent="0.25">
      <c r="A8" s="8"/>
      <c r="B8" s="9">
        <v>200</v>
      </c>
      <c r="C8" s="8" t="s">
        <v>11</v>
      </c>
      <c r="D8" s="19">
        <v>5846000</v>
      </c>
      <c r="E8" s="19">
        <v>4130600</v>
      </c>
      <c r="F8" s="19">
        <v>2999990</v>
      </c>
      <c r="G8" s="19">
        <v>3969095</v>
      </c>
      <c r="H8" s="19">
        <v>2568800</v>
      </c>
      <c r="I8" s="1"/>
      <c r="J8" s="19">
        <v>4562319</v>
      </c>
      <c r="K8" s="19">
        <v>3277947</v>
      </c>
      <c r="L8" s="19">
        <v>2019108</v>
      </c>
      <c r="M8" s="19">
        <v>2676000</v>
      </c>
      <c r="N8" s="19">
        <v>1856758</v>
      </c>
      <c r="P8" s="28">
        <f t="shared" si="5"/>
        <v>0.7804172083475881</v>
      </c>
      <c r="Q8" s="28">
        <f t="shared" si="5"/>
        <v>0.79357647799351183</v>
      </c>
      <c r="R8" s="28">
        <f t="shared" si="5"/>
        <v>0.67303824346081154</v>
      </c>
      <c r="S8" s="28">
        <f t="shared" si="5"/>
        <v>0.67420910812162471</v>
      </c>
      <c r="T8" s="28">
        <f t="shared" si="5"/>
        <v>0.72281142946122701</v>
      </c>
      <c r="V8" s="28">
        <f t="shared" si="6"/>
        <v>0.75978157589936957</v>
      </c>
      <c r="W8" s="28">
        <f t="shared" si="7"/>
        <v>0.73751021356699908</v>
      </c>
      <c r="Y8" s="30">
        <v>0.75978157589936957</v>
      </c>
    </row>
    <row r="9" spans="1:25" x14ac:dyDescent="0.25">
      <c r="A9" s="8"/>
      <c r="B9" s="9">
        <v>300</v>
      </c>
      <c r="C9" s="8" t="s">
        <v>13</v>
      </c>
      <c r="D9" s="19">
        <v>1215550</v>
      </c>
      <c r="E9" s="19">
        <v>771700</v>
      </c>
      <c r="F9" s="19">
        <v>799164</v>
      </c>
      <c r="G9" s="19">
        <v>778565</v>
      </c>
      <c r="H9" s="19">
        <v>809000</v>
      </c>
      <c r="I9" s="1"/>
      <c r="J9" s="19">
        <v>725233</v>
      </c>
      <c r="K9" s="19">
        <v>632835</v>
      </c>
      <c r="L9" s="19">
        <v>575822</v>
      </c>
      <c r="M9" s="19">
        <v>474539</v>
      </c>
      <c r="N9" s="19">
        <v>579242</v>
      </c>
      <c r="P9" s="28">
        <f t="shared" si="5"/>
        <v>0.59662950927563652</v>
      </c>
      <c r="Q9" s="28">
        <f t="shared" si="5"/>
        <v>0.82005312945445119</v>
      </c>
      <c r="R9" s="28">
        <f t="shared" si="5"/>
        <v>0.72053045432476936</v>
      </c>
      <c r="S9" s="28">
        <f t="shared" si="5"/>
        <v>0.60950466563485384</v>
      </c>
      <c r="T9" s="28">
        <f t="shared" si="5"/>
        <v>0.71599752781211368</v>
      </c>
      <c r="V9" s="28">
        <f t="shared" si="6"/>
        <v>0.69404259381412814</v>
      </c>
      <c r="W9" s="28">
        <f t="shared" si="7"/>
        <v>0.68305563424058502</v>
      </c>
      <c r="Y9" s="30">
        <v>0.69404259381412814</v>
      </c>
    </row>
    <row r="10" spans="1:25" x14ac:dyDescent="0.25">
      <c r="A10" s="8"/>
      <c r="B10" s="9">
        <v>400</v>
      </c>
      <c r="C10" s="8" t="s">
        <v>15</v>
      </c>
      <c r="D10" s="19">
        <v>420100</v>
      </c>
      <c r="E10" s="19">
        <v>82100</v>
      </c>
      <c r="F10" s="19">
        <v>49000</v>
      </c>
      <c r="G10" s="19">
        <v>142700</v>
      </c>
      <c r="H10" s="19">
        <v>156000</v>
      </c>
      <c r="I10" s="1"/>
      <c r="J10" s="19">
        <v>413078</v>
      </c>
      <c r="K10" s="19">
        <v>140816</v>
      </c>
      <c r="L10" s="19">
        <v>46389</v>
      </c>
      <c r="M10" s="19">
        <v>111049</v>
      </c>
      <c r="N10" s="19">
        <v>24547</v>
      </c>
      <c r="P10" s="28">
        <f t="shared" si="5"/>
        <v>0.98328493215900981</v>
      </c>
      <c r="Q10" s="28">
        <f t="shared" si="5"/>
        <v>1.7151766138855056</v>
      </c>
      <c r="R10" s="28">
        <f t="shared" si="5"/>
        <v>0.94671428571428573</v>
      </c>
      <c r="S10" s="28">
        <f t="shared" si="5"/>
        <v>0.77819901892081289</v>
      </c>
      <c r="T10" s="28">
        <f t="shared" si="5"/>
        <v>0.1573525641025641</v>
      </c>
      <c r="V10" s="28">
        <f t="shared" si="6"/>
        <v>1.0890475326560232</v>
      </c>
      <c r="W10" s="28">
        <f t="shared" si="7"/>
        <v>0.86584186374867633</v>
      </c>
      <c r="Y10" s="30">
        <v>1.0890475326560232</v>
      </c>
    </row>
    <row r="11" spans="1:25" x14ac:dyDescent="0.25">
      <c r="A11" s="8"/>
      <c r="B11" s="9">
        <v>500</v>
      </c>
      <c r="C11" s="8" t="s">
        <v>16</v>
      </c>
      <c r="D11" s="19">
        <v>100000</v>
      </c>
      <c r="E11" s="19">
        <v>100000</v>
      </c>
      <c r="F11" s="19">
        <v>100000</v>
      </c>
      <c r="G11" s="19">
        <v>100000</v>
      </c>
      <c r="H11" s="19">
        <v>100000</v>
      </c>
      <c r="I11" s="1"/>
      <c r="J11" s="19">
        <v>0</v>
      </c>
      <c r="K11" s="19">
        <v>0</v>
      </c>
      <c r="L11" s="19">
        <v>0</v>
      </c>
      <c r="M11" s="19">
        <v>0</v>
      </c>
      <c r="N11" s="19">
        <v>0</v>
      </c>
      <c r="P11" s="28">
        <f t="shared" si="5"/>
        <v>0</v>
      </c>
      <c r="Q11" s="28">
        <f t="shared" si="5"/>
        <v>0</v>
      </c>
      <c r="R11" s="28">
        <f t="shared" si="5"/>
        <v>0</v>
      </c>
      <c r="S11" s="28">
        <f t="shared" si="5"/>
        <v>0</v>
      </c>
      <c r="T11" s="28">
        <f t="shared" si="5"/>
        <v>0</v>
      </c>
      <c r="V11" s="28">
        <f t="shared" si="6"/>
        <v>0</v>
      </c>
      <c r="W11" s="28">
        <f t="shared" si="7"/>
        <v>0</v>
      </c>
      <c r="Y11" s="30">
        <v>0</v>
      </c>
    </row>
    <row r="12" spans="1:25" x14ac:dyDescent="0.25">
      <c r="A12" s="8"/>
      <c r="B12" s="9">
        <v>800</v>
      </c>
      <c r="C12" s="8" t="s">
        <v>17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"/>
      <c r="J12" s="19"/>
      <c r="K12" s="19">
        <v>0</v>
      </c>
      <c r="L12" s="19">
        <v>0</v>
      </c>
      <c r="M12" s="19">
        <v>0</v>
      </c>
      <c r="N12" s="19">
        <v>0</v>
      </c>
      <c r="P12" s="28" t="str">
        <f t="shared" si="5"/>
        <v/>
      </c>
      <c r="Q12" s="28" t="str">
        <f t="shared" si="5"/>
        <v/>
      </c>
      <c r="R12" s="28" t="str">
        <f t="shared" si="5"/>
        <v/>
      </c>
      <c r="S12" s="28" t="str">
        <f t="shared" si="5"/>
        <v/>
      </c>
      <c r="T12" s="28" t="str">
        <f t="shared" si="5"/>
        <v/>
      </c>
      <c r="V12" s="28" t="str">
        <f t="shared" si="6"/>
        <v/>
      </c>
      <c r="W12" s="28" t="str">
        <f t="shared" si="7"/>
        <v/>
      </c>
      <c r="Y12" s="30">
        <v>0</v>
      </c>
    </row>
    <row r="13" spans="1:25" ht="3" customHeight="1" x14ac:dyDescent="0.25">
      <c r="A13" s="8"/>
      <c r="B13" s="9"/>
      <c r="C13" s="8"/>
      <c r="D13" s="8"/>
      <c r="E13" s="8"/>
      <c r="F13" s="8"/>
      <c r="G13" s="8"/>
      <c r="H13" s="8"/>
      <c r="I13" s="1"/>
      <c r="J13" s="1"/>
      <c r="K13" s="1"/>
      <c r="L13" s="1"/>
      <c r="M13" s="1"/>
      <c r="N13" s="1"/>
      <c r="Y13" s="1"/>
    </row>
    <row r="14" spans="1:25" x14ac:dyDescent="0.25">
      <c r="A14" s="10" t="str">
        <f>"Subtotal "&amp;A6</f>
        <v>Subtotal Human Resources and Administration</v>
      </c>
      <c r="B14" s="9"/>
      <c r="C14" s="8"/>
      <c r="D14" s="20">
        <f t="shared" ref="D14:H14" si="8">SUM(D7:D13)</f>
        <v>16254689</v>
      </c>
      <c r="E14" s="20">
        <f t="shared" si="8"/>
        <v>12944850</v>
      </c>
      <c r="F14" s="20">
        <f t="shared" si="8"/>
        <v>11674704</v>
      </c>
      <c r="G14" s="20">
        <f t="shared" si="8"/>
        <v>12524310</v>
      </c>
      <c r="H14" s="20">
        <f t="shared" si="8"/>
        <v>11146300</v>
      </c>
      <c r="I14" s="1"/>
      <c r="J14" s="21">
        <f t="shared" ref="J14:N14" si="9">SUM(J7:J13)</f>
        <v>14203446</v>
      </c>
      <c r="K14" s="21">
        <f t="shared" si="9"/>
        <v>11702361</v>
      </c>
      <c r="L14" s="21">
        <f t="shared" si="9"/>
        <v>9552685</v>
      </c>
      <c r="M14" s="21">
        <f t="shared" si="9"/>
        <v>9852812</v>
      </c>
      <c r="N14" s="21">
        <f t="shared" si="9"/>
        <v>9242706</v>
      </c>
      <c r="P14" s="28">
        <f>IF(D14=0,"",+J14/D14)</f>
        <v>0.87380607528080056</v>
      </c>
      <c r="Q14" s="28">
        <f>IF(E14=0,"",+K14/E14)</f>
        <v>0.90401673252297243</v>
      </c>
      <c r="R14" s="28">
        <f>IF(F14=0,"",+L14/F14)</f>
        <v>0.81823787566691197</v>
      </c>
      <c r="S14" s="28">
        <f>IF(G14=0,"",+M14/G14)</f>
        <v>0.78669499557261036</v>
      </c>
      <c r="T14" s="28">
        <f>IF(H14=0,"",+N14/H14)</f>
        <v>0.82921740846738379</v>
      </c>
      <c r="V14" s="28">
        <f>IF(SUM(D14:F14)=0,"",SUM(J14:L14)/SUM(D14:F14))</f>
        <v>0.867502108846395</v>
      </c>
      <c r="W14" s="28">
        <f>IF(SUM(D14:H14)=0,"",SUM(J14:N14)/SUM(D14:H14))</f>
        <v>0.84521084895801069</v>
      </c>
      <c r="Y14" s="1"/>
    </row>
    <row r="15" spans="1:25" x14ac:dyDescent="0.25">
      <c r="A15" s="1"/>
      <c r="B15" s="11"/>
      <c r="C15" s="1"/>
      <c r="D15" s="1"/>
      <c r="E15" s="1"/>
      <c r="F15" s="1"/>
      <c r="G15" s="1"/>
      <c r="H15" s="1"/>
      <c r="I15" s="1"/>
      <c r="J15" s="22"/>
      <c r="K15" s="22"/>
      <c r="L15" s="1"/>
      <c r="M15" s="1"/>
      <c r="N15" s="1"/>
      <c r="Y15" s="1"/>
    </row>
    <row r="16" spans="1:25" ht="15.75" thickBot="1" x14ac:dyDescent="0.3">
      <c r="A16" s="6" t="s">
        <v>3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1"/>
      <c r="B17" s="9">
        <v>100</v>
      </c>
      <c r="C17" s="8" t="s">
        <v>10</v>
      </c>
      <c r="D17" s="18">
        <v>2472925</v>
      </c>
      <c r="E17" s="18">
        <v>2181400</v>
      </c>
      <c r="F17" s="18">
        <v>2006100</v>
      </c>
      <c r="G17" s="18">
        <v>1602950</v>
      </c>
      <c r="H17" s="18">
        <v>1929500</v>
      </c>
      <c r="I17" s="1"/>
      <c r="J17" s="18">
        <v>2170853</v>
      </c>
      <c r="K17" s="18">
        <v>1849144</v>
      </c>
      <c r="L17" s="18">
        <v>1472571.4500000002</v>
      </c>
      <c r="M17" s="18">
        <v>1388706</v>
      </c>
      <c r="N17" s="18">
        <v>1393850</v>
      </c>
      <c r="P17" s="28">
        <f t="shared" ref="P17:T23" si="10">IF(D17=0,"",+J17/D17)</f>
        <v>0.87784829705712875</v>
      </c>
      <c r="Q17" s="28">
        <f t="shared" si="10"/>
        <v>0.84768680663793894</v>
      </c>
      <c r="R17" s="28">
        <f t="shared" si="10"/>
        <v>0.73404688200987001</v>
      </c>
      <c r="S17" s="28">
        <f t="shared" si="10"/>
        <v>0.86634392838204566</v>
      </c>
      <c r="T17" s="28">
        <f t="shared" si="10"/>
        <v>0.72238922000518269</v>
      </c>
      <c r="V17" s="28">
        <f t="shared" ref="V17:V23" si="11">IF(SUM(D17:F17)=0,"",SUM(J17:L17)/SUM(D17:F17))</f>
        <v>0.8246573529466964</v>
      </c>
      <c r="W17" s="28">
        <f t="shared" ref="W17:W23" si="12">IF(SUM(D17:H17)=0,"",SUM(J17:N17)/SUM(D17:H17))</f>
        <v>0.81185381455183159</v>
      </c>
      <c r="Y17" s="29">
        <v>1</v>
      </c>
    </row>
    <row r="18" spans="1:25" x14ac:dyDescent="0.25">
      <c r="A18" s="1"/>
      <c r="B18" s="9">
        <v>200</v>
      </c>
      <c r="C18" s="8" t="s">
        <v>11</v>
      </c>
      <c r="D18" s="19">
        <f>17572500-10250000</f>
        <v>7322500</v>
      </c>
      <c r="E18" s="19">
        <f>12691000-5200000</f>
        <v>7491000</v>
      </c>
      <c r="F18" s="19">
        <f>18943110-5175000</f>
        <v>13768110</v>
      </c>
      <c r="G18" s="19">
        <f>12291405-5050000</f>
        <v>7241405</v>
      </c>
      <c r="H18" s="19">
        <f>12501800</f>
        <v>12501800</v>
      </c>
      <c r="I18" s="1"/>
      <c r="J18" s="19">
        <f>18409287-(13598134)</f>
        <v>4811153</v>
      </c>
      <c r="K18" s="19">
        <f>9386243-5020143</f>
        <v>4366100</v>
      </c>
      <c r="L18" s="19">
        <f>10503729.73-4925776</f>
        <v>5577953.7300000004</v>
      </c>
      <c r="M18" s="19">
        <f>14231767-5025000</f>
        <v>9206767</v>
      </c>
      <c r="N18" s="19">
        <v>10311521</v>
      </c>
      <c r="P18" s="28">
        <f t="shared" si="10"/>
        <v>0.65703694093547282</v>
      </c>
      <c r="Q18" s="28">
        <f t="shared" si="10"/>
        <v>0.58284608196502474</v>
      </c>
      <c r="R18" s="28">
        <f t="shared" si="10"/>
        <v>0.4051357615533287</v>
      </c>
      <c r="S18" s="28">
        <f t="shared" si="10"/>
        <v>1.2714061704876334</v>
      </c>
      <c r="T18" s="28">
        <f t="shared" si="10"/>
        <v>0.82480290838119308</v>
      </c>
      <c r="V18" s="28">
        <f t="shared" si="11"/>
        <v>0.51624827047881494</v>
      </c>
      <c r="W18" s="28">
        <f t="shared" si="12"/>
        <v>0.70923178350501714</v>
      </c>
      <c r="Y18" s="30">
        <v>0.51624827047881494</v>
      </c>
    </row>
    <row r="19" spans="1:25" x14ac:dyDescent="0.25">
      <c r="A19" s="1"/>
      <c r="B19" s="9" t="s">
        <v>4</v>
      </c>
      <c r="C19" s="8" t="s">
        <v>5</v>
      </c>
      <c r="D19" s="19">
        <v>10250000</v>
      </c>
      <c r="E19" s="19">
        <v>5200000</v>
      </c>
      <c r="F19" s="19">
        <v>5175000</v>
      </c>
      <c r="G19" s="19">
        <v>5050000</v>
      </c>
      <c r="H19" s="19"/>
      <c r="I19" s="1"/>
      <c r="J19" s="19">
        <f>13598134-2000000</f>
        <v>11598134</v>
      </c>
      <c r="K19" s="19">
        <v>5020143</v>
      </c>
      <c r="L19" s="19">
        <v>4925776</v>
      </c>
      <c r="M19" s="19">
        <v>5025000</v>
      </c>
      <c r="N19" s="19"/>
      <c r="P19" s="28">
        <f t="shared" si="10"/>
        <v>1.1315252682926829</v>
      </c>
      <c r="Q19" s="28">
        <f t="shared" si="10"/>
        <v>0.96541211538461535</v>
      </c>
      <c r="R19" s="28">
        <f t="shared" si="10"/>
        <v>0.95184077294685987</v>
      </c>
      <c r="S19" s="28">
        <f t="shared" si="10"/>
        <v>0.99504950495049505</v>
      </c>
      <c r="T19" s="28" t="str">
        <f t="shared" si="10"/>
        <v/>
      </c>
      <c r="V19" s="28">
        <f t="shared" si="11"/>
        <v>1.0445601454545455</v>
      </c>
      <c r="W19" s="28">
        <f t="shared" si="12"/>
        <v>1.0348219279454722</v>
      </c>
      <c r="Y19" s="29">
        <v>1</v>
      </c>
    </row>
    <row r="20" spans="1:25" x14ac:dyDescent="0.25">
      <c r="A20" s="1"/>
      <c r="B20" s="9">
        <v>300</v>
      </c>
      <c r="C20" s="8" t="s">
        <v>13</v>
      </c>
      <c r="D20" s="19">
        <v>436200</v>
      </c>
      <c r="E20" s="19">
        <v>816400</v>
      </c>
      <c r="F20" s="19">
        <v>806436</v>
      </c>
      <c r="G20" s="19">
        <v>752735</v>
      </c>
      <c r="H20" s="19">
        <v>702000</v>
      </c>
      <c r="I20" s="1"/>
      <c r="J20" s="19">
        <v>23023</v>
      </c>
      <c r="K20" s="19">
        <v>124596</v>
      </c>
      <c r="L20" s="19">
        <v>383298.93999999994</v>
      </c>
      <c r="M20" s="19">
        <v>598960</v>
      </c>
      <c r="N20" s="19">
        <v>661729</v>
      </c>
      <c r="P20" s="28">
        <f t="shared" si="10"/>
        <v>5.2780834479596514E-2</v>
      </c>
      <c r="Q20" s="28">
        <f t="shared" si="10"/>
        <v>0.15261636452719254</v>
      </c>
      <c r="R20" s="28">
        <f t="shared" si="10"/>
        <v>0.47529988740582013</v>
      </c>
      <c r="S20" s="28">
        <f t="shared" si="10"/>
        <v>0.79571163822593605</v>
      </c>
      <c r="T20" s="28">
        <f t="shared" si="10"/>
        <v>0.94263390313390316</v>
      </c>
      <c r="V20" s="28">
        <f t="shared" si="11"/>
        <v>0.25784781810517154</v>
      </c>
      <c r="W20" s="28">
        <f t="shared" si="12"/>
        <v>0.50988153183574003</v>
      </c>
      <c r="Y20" s="30">
        <v>0.25784781810517154</v>
      </c>
    </row>
    <row r="21" spans="1:25" x14ac:dyDescent="0.25">
      <c r="A21" s="1"/>
      <c r="B21" s="9">
        <v>400</v>
      </c>
      <c r="C21" s="8" t="s">
        <v>15</v>
      </c>
      <c r="D21" s="19">
        <v>10800</v>
      </c>
      <c r="E21" s="19">
        <v>560800</v>
      </c>
      <c r="F21" s="19">
        <v>610800</v>
      </c>
      <c r="G21" s="19">
        <v>599800</v>
      </c>
      <c r="H21" s="19">
        <v>244000</v>
      </c>
      <c r="I21" s="1"/>
      <c r="J21" s="19">
        <v>0</v>
      </c>
      <c r="K21" s="19">
        <v>521252</v>
      </c>
      <c r="L21" s="19">
        <v>244778.48</v>
      </c>
      <c r="M21" s="19">
        <v>527642</v>
      </c>
      <c r="N21" s="19">
        <v>86002</v>
      </c>
      <c r="P21" s="28">
        <f t="shared" si="10"/>
        <v>0</v>
      </c>
      <c r="Q21" s="28">
        <f t="shared" si="10"/>
        <v>0.9294793152639087</v>
      </c>
      <c r="R21" s="28">
        <f t="shared" si="10"/>
        <v>0.40075062213490503</v>
      </c>
      <c r="S21" s="28">
        <f t="shared" si="10"/>
        <v>0.87969656552184061</v>
      </c>
      <c r="T21" s="28">
        <f t="shared" si="10"/>
        <v>0.3524672131147541</v>
      </c>
      <c r="V21" s="28">
        <f t="shared" si="11"/>
        <v>0.64786069012178615</v>
      </c>
      <c r="W21" s="28">
        <f t="shared" si="12"/>
        <v>0.68091722436087254</v>
      </c>
      <c r="Y21" s="30">
        <v>0.64786069012178615</v>
      </c>
    </row>
    <row r="22" spans="1:25" x14ac:dyDescent="0.25">
      <c r="A22" s="1"/>
      <c r="B22" s="9">
        <v>500</v>
      </c>
      <c r="C22" s="8" t="s">
        <v>16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"/>
      <c r="J22" s="19"/>
      <c r="K22" s="19"/>
      <c r="L22" s="19"/>
      <c r="M22" s="19"/>
      <c r="N22" s="19">
        <v>0</v>
      </c>
      <c r="P22" s="28" t="str">
        <f t="shared" si="10"/>
        <v/>
      </c>
      <c r="Q22" s="28" t="str">
        <f t="shared" si="10"/>
        <v/>
      </c>
      <c r="R22" s="28" t="str">
        <f t="shared" si="10"/>
        <v/>
      </c>
      <c r="S22" s="28" t="str">
        <f t="shared" si="10"/>
        <v/>
      </c>
      <c r="T22" s="28" t="str">
        <f t="shared" si="10"/>
        <v/>
      </c>
      <c r="V22" s="28" t="str">
        <f t="shared" si="11"/>
        <v/>
      </c>
      <c r="W22" s="28" t="str">
        <f t="shared" si="12"/>
        <v/>
      </c>
      <c r="Y22" s="29">
        <v>1</v>
      </c>
    </row>
    <row r="23" spans="1:25" x14ac:dyDescent="0.25">
      <c r="A23" s="1"/>
      <c r="B23" s="9">
        <v>800</v>
      </c>
      <c r="C23" s="8" t="s">
        <v>17</v>
      </c>
      <c r="D23" s="19">
        <v>14000000</v>
      </c>
      <c r="E23" s="19">
        <v>13243100</v>
      </c>
      <c r="F23" s="19">
        <v>12605000</v>
      </c>
      <c r="G23" s="19">
        <v>10948900</v>
      </c>
      <c r="H23" s="19">
        <v>10630000</v>
      </c>
      <c r="I23" s="1"/>
      <c r="J23" s="19">
        <v>6244621</v>
      </c>
      <c r="K23" s="19">
        <v>7714419</v>
      </c>
      <c r="L23" s="19">
        <v>10792914</v>
      </c>
      <c r="M23" s="19">
        <v>9074729</v>
      </c>
      <c r="N23" s="19">
        <v>7754262</v>
      </c>
      <c r="P23" s="28">
        <f t="shared" si="10"/>
        <v>0.44604435714285712</v>
      </c>
      <c r="Q23" s="28">
        <f t="shared" si="10"/>
        <v>0.58252365382727611</v>
      </c>
      <c r="R23" s="28">
        <f t="shared" si="10"/>
        <v>0.85624069813566051</v>
      </c>
      <c r="S23" s="28">
        <f t="shared" si="10"/>
        <v>0.82882563545196319</v>
      </c>
      <c r="T23" s="28">
        <f t="shared" si="10"/>
        <v>0.72946961429915336</v>
      </c>
      <c r="V23" s="28">
        <f t="shared" si="11"/>
        <v>0.62115769635189633</v>
      </c>
      <c r="W23" s="28">
        <f t="shared" si="12"/>
        <v>0.67691642111774952</v>
      </c>
      <c r="Y23" s="30">
        <v>0.62115769635189633</v>
      </c>
    </row>
    <row r="24" spans="1:25" ht="3" customHeight="1" x14ac:dyDescent="0.25">
      <c r="A24" s="8"/>
      <c r="B24" s="9"/>
      <c r="C24" s="8"/>
      <c r="D24" s="8"/>
      <c r="E24" s="8"/>
      <c r="F24" s="8"/>
      <c r="G24" s="8"/>
      <c r="H24" s="8"/>
      <c r="I24" s="1"/>
      <c r="J24" s="1"/>
      <c r="K24" s="1"/>
      <c r="L24" s="1"/>
      <c r="M24" s="1"/>
      <c r="N24" s="1"/>
      <c r="Y24" s="1"/>
    </row>
    <row r="25" spans="1:25" x14ac:dyDescent="0.25">
      <c r="A25" s="12" t="str">
        <f>"Subtotal "&amp;A16</f>
        <v>Subtotal Finance</v>
      </c>
      <c r="B25" s="11"/>
      <c r="C25" s="1"/>
      <c r="D25" s="20">
        <f t="shared" ref="D25:H25" si="13">SUM(D17:D24)</f>
        <v>34492425</v>
      </c>
      <c r="E25" s="20">
        <f t="shared" si="13"/>
        <v>29492700</v>
      </c>
      <c r="F25" s="20">
        <f t="shared" si="13"/>
        <v>34971446</v>
      </c>
      <c r="G25" s="20">
        <f t="shared" si="13"/>
        <v>26195790</v>
      </c>
      <c r="H25" s="20">
        <f t="shared" si="13"/>
        <v>26007300</v>
      </c>
      <c r="I25" s="1"/>
      <c r="J25" s="21">
        <f t="shared" ref="J25:N25" si="14">SUM(J17:J24)</f>
        <v>24847784</v>
      </c>
      <c r="K25" s="21">
        <f t="shared" si="14"/>
        <v>19595654</v>
      </c>
      <c r="L25" s="21">
        <f t="shared" si="14"/>
        <v>23397292.600000001</v>
      </c>
      <c r="M25" s="21">
        <f t="shared" si="14"/>
        <v>25821804</v>
      </c>
      <c r="N25" s="21">
        <f t="shared" si="14"/>
        <v>20207364</v>
      </c>
      <c r="P25" s="28">
        <f>IF(D25=0,"",+J25/D25)</f>
        <v>0.72038379441283118</v>
      </c>
      <c r="Q25" s="28">
        <f>IF(E25=0,"",+K25/E25)</f>
        <v>0.6644238743824743</v>
      </c>
      <c r="R25" s="28">
        <f>IF(F25=0,"",+L25/F25)</f>
        <v>0.66903989614841786</v>
      </c>
      <c r="S25" s="28">
        <f>IF(G25=0,"",+M25/G25)</f>
        <v>0.98572343113149097</v>
      </c>
      <c r="T25" s="28">
        <f>IF(H25=0,"",+N25/H25)</f>
        <v>0.77698815332618154</v>
      </c>
      <c r="V25" s="28">
        <f>IF(SUM(D25:F25)=0,"",SUM(J25:L25)/SUM(D25:F25))</f>
        <v>0.68556064457811494</v>
      </c>
      <c r="W25" s="28">
        <f>IF(SUM(D25:H25)=0,"",SUM(J25:N25)/SUM(D25:H25))</f>
        <v>0.7533087719745547</v>
      </c>
      <c r="Y25" s="1"/>
    </row>
    <row r="26" spans="1:25" x14ac:dyDescent="0.25">
      <c r="A26" s="1"/>
      <c r="B26" s="11"/>
      <c r="C26" s="1"/>
      <c r="D26" s="23"/>
      <c r="E26" s="23"/>
      <c r="F26" s="23"/>
      <c r="G26" s="23"/>
      <c r="H26" s="23"/>
      <c r="I26" s="1"/>
      <c r="J26" s="23"/>
      <c r="K26" s="23"/>
      <c r="L26" s="23"/>
      <c r="M26" s="23"/>
      <c r="N26" s="23"/>
      <c r="Y26" s="1"/>
    </row>
    <row r="27" spans="1:25" ht="15.75" thickBot="1" x14ac:dyDescent="0.3">
      <c r="A27" s="6" t="s">
        <v>6</v>
      </c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x14ac:dyDescent="0.25">
      <c r="A28" s="1"/>
      <c r="B28" s="9">
        <v>100</v>
      </c>
      <c r="C28" s="8" t="s">
        <v>10</v>
      </c>
      <c r="D28" s="18">
        <v>1231738</v>
      </c>
      <c r="E28" s="18">
        <v>1268860</v>
      </c>
      <c r="F28" s="18">
        <v>1215300</v>
      </c>
      <c r="G28" s="18">
        <v>1198100</v>
      </c>
      <c r="H28" s="18">
        <v>1449595</v>
      </c>
      <c r="I28" s="1"/>
      <c r="J28" s="18">
        <v>1199514</v>
      </c>
      <c r="K28" s="18">
        <v>1043846</v>
      </c>
      <c r="L28" s="18">
        <v>1057108</v>
      </c>
      <c r="M28" s="18">
        <v>1028722</v>
      </c>
      <c r="N28" s="18">
        <v>1449595</v>
      </c>
      <c r="P28" s="28">
        <f t="shared" ref="P28:T33" si="15">IF(D28=0,"",+J28/D28)</f>
        <v>0.97383859229803738</v>
      </c>
      <c r="Q28" s="28">
        <f t="shared" si="15"/>
        <v>0.82266443894519492</v>
      </c>
      <c r="R28" s="28">
        <f t="shared" si="15"/>
        <v>0.86983296305438984</v>
      </c>
      <c r="S28" s="28">
        <f t="shared" si="15"/>
        <v>0.85862782739337284</v>
      </c>
      <c r="T28" s="28">
        <f t="shared" si="15"/>
        <v>1</v>
      </c>
      <c r="V28" s="28">
        <f t="shared" ref="V28:V33" si="16">IF(SUM(D28:F28)=0,"",SUM(J28:L28)/SUM(D28:F28))</f>
        <v>0.88820199047444248</v>
      </c>
      <c r="W28" s="28">
        <f t="shared" ref="W28:W33" si="17">IF(SUM(D28:H28)=0,"",SUM(J28:N28)/SUM(D28:H28))</f>
        <v>0.90810097377377841</v>
      </c>
      <c r="Y28" s="29">
        <v>1</v>
      </c>
    </row>
    <row r="29" spans="1:25" x14ac:dyDescent="0.25">
      <c r="A29" s="1"/>
      <c r="B29" s="9">
        <v>200</v>
      </c>
      <c r="C29" s="8" t="s">
        <v>11</v>
      </c>
      <c r="D29" s="19">
        <v>492900</v>
      </c>
      <c r="E29" s="19">
        <v>498500</v>
      </c>
      <c r="F29" s="19">
        <v>732500</v>
      </c>
      <c r="G29" s="19">
        <v>488000</v>
      </c>
      <c r="H29" s="19">
        <v>528000</v>
      </c>
      <c r="I29" s="1"/>
      <c r="J29" s="19">
        <v>297188</v>
      </c>
      <c r="K29" s="19">
        <v>155719</v>
      </c>
      <c r="L29" s="19">
        <v>235838</v>
      </c>
      <c r="M29" s="19">
        <v>259551</v>
      </c>
      <c r="N29" s="19">
        <v>528000</v>
      </c>
      <c r="P29" s="28">
        <f t="shared" si="15"/>
        <v>0.60293771556096576</v>
      </c>
      <c r="Q29" s="28">
        <f t="shared" si="15"/>
        <v>0.31237512537612838</v>
      </c>
      <c r="R29" s="28">
        <f t="shared" si="15"/>
        <v>0.32196313993174064</v>
      </c>
      <c r="S29" s="28">
        <f t="shared" si="15"/>
        <v>0.53186680327868852</v>
      </c>
      <c r="T29" s="28">
        <f t="shared" si="15"/>
        <v>1</v>
      </c>
      <c r="V29" s="28">
        <f t="shared" si="16"/>
        <v>0.39952723475839663</v>
      </c>
      <c r="W29" s="28">
        <f t="shared" si="17"/>
        <v>0.5388138253220921</v>
      </c>
      <c r="Y29" s="30">
        <v>0.39952723475839663</v>
      </c>
    </row>
    <row r="30" spans="1:25" x14ac:dyDescent="0.25">
      <c r="A30" s="1"/>
      <c r="B30" s="9">
        <v>300</v>
      </c>
      <c r="C30" s="8" t="s">
        <v>13</v>
      </c>
      <c r="D30" s="19">
        <v>198000</v>
      </c>
      <c r="E30" s="19">
        <v>177300</v>
      </c>
      <c r="F30" s="19">
        <v>148100</v>
      </c>
      <c r="G30" s="19">
        <v>146000</v>
      </c>
      <c r="H30" s="19">
        <v>147000</v>
      </c>
      <c r="I30" s="1"/>
      <c r="J30" s="19">
        <v>102067</v>
      </c>
      <c r="K30" s="19">
        <v>105252</v>
      </c>
      <c r="L30" s="19">
        <v>191888</v>
      </c>
      <c r="M30" s="19">
        <v>133233</v>
      </c>
      <c r="N30" s="19">
        <v>147000</v>
      </c>
      <c r="P30" s="28">
        <f t="shared" si="15"/>
        <v>0.51548989898989894</v>
      </c>
      <c r="Q30" s="28">
        <f t="shared" si="15"/>
        <v>0.59363790186125209</v>
      </c>
      <c r="R30" s="28">
        <f t="shared" si="15"/>
        <v>1.2956650911546252</v>
      </c>
      <c r="S30" s="28">
        <f t="shared" si="15"/>
        <v>0.912554794520548</v>
      </c>
      <c r="T30" s="28">
        <f t="shared" si="15"/>
        <v>1</v>
      </c>
      <c r="V30" s="28">
        <f t="shared" si="16"/>
        <v>0.76271876194115396</v>
      </c>
      <c r="W30" s="28">
        <f t="shared" si="17"/>
        <v>0.83223909848113675</v>
      </c>
      <c r="Y30" s="30">
        <v>0.76271876194115396</v>
      </c>
    </row>
    <row r="31" spans="1:25" x14ac:dyDescent="0.25">
      <c r="A31" s="1"/>
      <c r="B31" s="9">
        <v>400</v>
      </c>
      <c r="C31" s="8" t="s">
        <v>15</v>
      </c>
      <c r="D31" s="19">
        <v>59000</v>
      </c>
      <c r="E31" s="19">
        <v>220000</v>
      </c>
      <c r="F31" s="19">
        <v>111500</v>
      </c>
      <c r="G31" s="19">
        <v>79000</v>
      </c>
      <c r="H31" s="19">
        <v>228000</v>
      </c>
      <c r="I31" s="1"/>
      <c r="J31" s="19">
        <v>14614</v>
      </c>
      <c r="K31" s="19">
        <v>27449</v>
      </c>
      <c r="L31" s="19">
        <v>30333</v>
      </c>
      <c r="M31" s="19">
        <v>28435</v>
      </c>
      <c r="N31" s="19">
        <v>228000</v>
      </c>
      <c r="P31" s="28">
        <f t="shared" si="15"/>
        <v>0.24769491525423729</v>
      </c>
      <c r="Q31" s="28">
        <f t="shared" si="15"/>
        <v>0.12476818181818182</v>
      </c>
      <c r="R31" s="28">
        <f t="shared" si="15"/>
        <v>0.27204484304932736</v>
      </c>
      <c r="S31" s="28">
        <f t="shared" si="15"/>
        <v>0.35993670886075951</v>
      </c>
      <c r="T31" s="28">
        <f t="shared" si="15"/>
        <v>1</v>
      </c>
      <c r="V31" s="28">
        <f t="shared" si="16"/>
        <v>0.18539308578745198</v>
      </c>
      <c r="W31" s="28">
        <f t="shared" si="17"/>
        <v>0.47144229390681003</v>
      </c>
      <c r="Y31" s="30">
        <v>0.18539308578745198</v>
      </c>
    </row>
    <row r="32" spans="1:25" x14ac:dyDescent="0.25">
      <c r="A32" s="1"/>
      <c r="B32" s="9">
        <v>500</v>
      </c>
      <c r="C32" s="8" t="s">
        <v>16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"/>
      <c r="J32" s="19"/>
      <c r="K32" s="19"/>
      <c r="L32" s="19">
        <v>0</v>
      </c>
      <c r="M32" s="19">
        <v>0</v>
      </c>
      <c r="N32" s="19">
        <v>0</v>
      </c>
      <c r="P32" s="28" t="str">
        <f t="shared" si="15"/>
        <v/>
      </c>
      <c r="Q32" s="28" t="str">
        <f t="shared" si="15"/>
        <v/>
      </c>
      <c r="R32" s="28" t="str">
        <f t="shared" si="15"/>
        <v/>
      </c>
      <c r="S32" s="28" t="str">
        <f t="shared" si="15"/>
        <v/>
      </c>
      <c r="T32" s="28" t="str">
        <f t="shared" si="15"/>
        <v/>
      </c>
      <c r="V32" s="28" t="str">
        <f t="shared" si="16"/>
        <v/>
      </c>
      <c r="W32" s="28" t="str">
        <f t="shared" si="17"/>
        <v/>
      </c>
      <c r="Y32" s="30">
        <v>0</v>
      </c>
    </row>
    <row r="33" spans="1:25" x14ac:dyDescent="0.25">
      <c r="A33" s="1"/>
      <c r="B33" s="9">
        <v>800</v>
      </c>
      <c r="C33" s="8" t="s">
        <v>17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"/>
      <c r="J33" s="19"/>
      <c r="K33" s="19"/>
      <c r="L33" s="19">
        <v>0</v>
      </c>
      <c r="M33" s="19">
        <v>0</v>
      </c>
      <c r="N33" s="19">
        <v>0</v>
      </c>
      <c r="P33" s="28" t="str">
        <f t="shared" si="15"/>
        <v/>
      </c>
      <c r="Q33" s="28" t="str">
        <f t="shared" si="15"/>
        <v/>
      </c>
      <c r="R33" s="28" t="str">
        <f t="shared" si="15"/>
        <v/>
      </c>
      <c r="S33" s="28" t="str">
        <f t="shared" si="15"/>
        <v/>
      </c>
      <c r="T33" s="28" t="str">
        <f t="shared" si="15"/>
        <v/>
      </c>
      <c r="V33" s="28" t="str">
        <f t="shared" si="16"/>
        <v/>
      </c>
      <c r="W33" s="28" t="str">
        <f t="shared" si="17"/>
        <v/>
      </c>
      <c r="Y33" s="30">
        <v>0</v>
      </c>
    </row>
    <row r="34" spans="1:25" ht="3" customHeight="1" x14ac:dyDescent="0.25">
      <c r="A34" s="8"/>
      <c r="B34" s="9"/>
      <c r="C34" s="8"/>
      <c r="D34" s="8"/>
      <c r="E34" s="8"/>
      <c r="F34" s="8"/>
      <c r="G34" s="8"/>
      <c r="H34" s="8"/>
      <c r="I34" s="1"/>
      <c r="J34" s="1"/>
      <c r="K34" s="1"/>
      <c r="L34" s="1"/>
      <c r="M34" s="1"/>
      <c r="N34" s="1"/>
      <c r="Y34" s="1"/>
    </row>
    <row r="35" spans="1:25" x14ac:dyDescent="0.25">
      <c r="A35" s="12" t="str">
        <f>"Subtotal "&amp;A27</f>
        <v>Subtotal Planning and Engineering</v>
      </c>
      <c r="B35" s="11"/>
      <c r="C35" s="1"/>
      <c r="D35" s="20">
        <f t="shared" ref="D35:H35" si="18">SUM(D28:D34)</f>
        <v>1981638</v>
      </c>
      <c r="E35" s="20">
        <f t="shared" si="18"/>
        <v>2164660</v>
      </c>
      <c r="F35" s="20">
        <f t="shared" si="18"/>
        <v>2207400</v>
      </c>
      <c r="G35" s="20">
        <f t="shared" si="18"/>
        <v>1911100</v>
      </c>
      <c r="H35" s="20">
        <f t="shared" si="18"/>
        <v>2352595</v>
      </c>
      <c r="I35" s="1"/>
      <c r="J35" s="21">
        <f t="shared" ref="J35:N35" si="19">SUM(J28:J34)</f>
        <v>1613383</v>
      </c>
      <c r="K35" s="21">
        <f t="shared" si="19"/>
        <v>1332266</v>
      </c>
      <c r="L35" s="21">
        <f t="shared" si="19"/>
        <v>1515167</v>
      </c>
      <c r="M35" s="21">
        <f t="shared" si="19"/>
        <v>1449941</v>
      </c>
      <c r="N35" s="21">
        <f t="shared" si="19"/>
        <v>2352595</v>
      </c>
      <c r="P35" s="28">
        <f>IF(D35=0,"",+J35/D35)</f>
        <v>0.81416636136367992</v>
      </c>
      <c r="Q35" s="28">
        <f>IF(E35=0,"",+K35/E35)</f>
        <v>0.61546201251004773</v>
      </c>
      <c r="R35" s="28">
        <f>IF(F35=0,"",+L35/F35)</f>
        <v>0.68640346108543993</v>
      </c>
      <c r="S35" s="28">
        <f>IF(G35=0,"",+M35/G35)</f>
        <v>0.75869446915389038</v>
      </c>
      <c r="T35" s="28">
        <f>IF(H35=0,"",+N35/H35)</f>
        <v>1</v>
      </c>
      <c r="V35" s="28">
        <f>IF(SUM(D35:F35)=0,"",SUM(J35:L35)/SUM(D35:F35))</f>
        <v>0.70208184273158714</v>
      </c>
      <c r="W35" s="28">
        <f>IF(SUM(D35:H35)=0,"",SUM(J35:N35)/SUM(D35:H35))</f>
        <v>0.77828446210854207</v>
      </c>
      <c r="Y35" s="1"/>
    </row>
    <row r="36" spans="1:25" x14ac:dyDescent="0.25">
      <c r="A36" s="1"/>
      <c r="B36" s="11"/>
      <c r="C36" s="1"/>
      <c r="D36" s="1"/>
      <c r="E36" s="1"/>
      <c r="F36" s="1"/>
      <c r="G36" s="1"/>
      <c r="H36" s="1"/>
      <c r="I36" s="1"/>
      <c r="J36" s="1"/>
      <c r="K36" s="1"/>
      <c r="L36" s="22"/>
      <c r="M36" s="1"/>
      <c r="N36" s="1"/>
      <c r="Y36" s="1"/>
    </row>
    <row r="37" spans="1:25" ht="15.75" thickBot="1" x14ac:dyDescent="0.3">
      <c r="A37" s="6" t="s">
        <v>7</v>
      </c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x14ac:dyDescent="0.25">
      <c r="A38" s="8"/>
      <c r="B38" s="9">
        <v>100</v>
      </c>
      <c r="C38" s="8" t="s">
        <v>10</v>
      </c>
      <c r="D38" s="18">
        <v>71357193</v>
      </c>
      <c r="E38" s="18">
        <f>69343900+3037446*0</f>
        <v>69343900</v>
      </c>
      <c r="F38" s="18">
        <v>70297400</v>
      </c>
      <c r="G38" s="18">
        <v>69949000</v>
      </c>
      <c r="H38" s="18">
        <v>68805000</v>
      </c>
      <c r="I38" s="1"/>
      <c r="J38" s="18">
        <v>71789745</v>
      </c>
      <c r="K38" s="18">
        <v>65710338</v>
      </c>
      <c r="L38" s="18">
        <v>63390240</v>
      </c>
      <c r="M38" s="18">
        <v>62092417</v>
      </c>
      <c r="N38" s="18">
        <v>62637659</v>
      </c>
      <c r="P38" s="28">
        <f t="shared" ref="P38:T45" si="20">IF(D38=0,"",+J38/D38)</f>
        <v>1.0060617855301568</v>
      </c>
      <c r="Q38" s="28">
        <f t="shared" si="20"/>
        <v>0.94760084160250579</v>
      </c>
      <c r="R38" s="28">
        <f t="shared" si="20"/>
        <v>0.90174373447666623</v>
      </c>
      <c r="S38" s="28">
        <f t="shared" si="20"/>
        <v>0.88768126778081169</v>
      </c>
      <c r="T38" s="28">
        <f t="shared" si="20"/>
        <v>0.91036492987428241</v>
      </c>
      <c r="V38" s="28">
        <f t="shared" ref="V38:V45" si="21">IF(SUM(D38:F38)=0,"",SUM(J38:L38)/SUM(D38:F38))</f>
        <v>0.95209363888679532</v>
      </c>
      <c r="W38" s="28">
        <f t="shared" ref="W38:W45" si="22">IF(SUM(D38:H38)=0,"",SUM(J38:N38)/SUM(D38:H38))</f>
        <v>0.93100236743702069</v>
      </c>
      <c r="Y38" s="29">
        <v>1</v>
      </c>
    </row>
    <row r="39" spans="1:25" x14ac:dyDescent="0.25">
      <c r="A39" s="8"/>
      <c r="B39" s="9">
        <v>200</v>
      </c>
      <c r="C39" s="8" t="s">
        <v>11</v>
      </c>
      <c r="D39" s="19">
        <v>63381100</v>
      </c>
      <c r="E39" s="19">
        <v>64948600</v>
      </c>
      <c r="F39" s="19">
        <v>57556100</v>
      </c>
      <c r="G39" s="19">
        <v>53255000</v>
      </c>
      <c r="H39" s="19">
        <v>49453000</v>
      </c>
      <c r="I39" s="1"/>
      <c r="J39" s="19">
        <v>55277653</v>
      </c>
      <c r="K39" s="19">
        <f>76606414-21440579</f>
        <v>55165835</v>
      </c>
      <c r="L39" s="19">
        <v>53779374</v>
      </c>
      <c r="M39" s="19">
        <v>49900039</v>
      </c>
      <c r="N39" s="19">
        <f>72300663-27311199</f>
        <v>44989464</v>
      </c>
      <c r="P39" s="28">
        <f t="shared" si="20"/>
        <v>0.87214726472087101</v>
      </c>
      <c r="Q39" s="28">
        <f t="shared" si="20"/>
        <v>0.84937681489670291</v>
      </c>
      <c r="R39" s="28">
        <f t="shared" si="20"/>
        <v>0.93438182920663493</v>
      </c>
      <c r="S39" s="28">
        <f t="shared" si="20"/>
        <v>0.93700195286827526</v>
      </c>
      <c r="T39" s="28">
        <f t="shared" si="20"/>
        <v>0.90974185590358525</v>
      </c>
      <c r="V39" s="28">
        <f t="shared" si="21"/>
        <v>0.88346103898199857</v>
      </c>
      <c r="W39" s="28">
        <f t="shared" si="22"/>
        <v>0.89784453096358963</v>
      </c>
      <c r="Y39" s="30">
        <v>0.88346103898199857</v>
      </c>
    </row>
    <row r="40" spans="1:25" x14ac:dyDescent="0.25">
      <c r="A40" s="8"/>
      <c r="B40" s="9">
        <v>220</v>
      </c>
      <c r="C40" s="8" t="s">
        <v>12</v>
      </c>
      <c r="D40" s="19">
        <f>27714000-2000000</f>
        <v>25714000</v>
      </c>
      <c r="E40" s="19">
        <v>26994900</v>
      </c>
      <c r="F40" s="19">
        <v>29362900</v>
      </c>
      <c r="G40" s="19">
        <v>27128000</v>
      </c>
      <c r="H40" s="19">
        <v>26266000</v>
      </c>
      <c r="I40" s="1"/>
      <c r="J40" s="19">
        <v>20427534</v>
      </c>
      <c r="K40" s="19">
        <v>21440579</v>
      </c>
      <c r="L40" s="19">
        <v>24375673.91</v>
      </c>
      <c r="M40" s="19">
        <v>24841360</v>
      </c>
      <c r="N40" s="19">
        <v>27311199</v>
      </c>
      <c r="P40" s="28">
        <f t="shared" si="20"/>
        <v>0.79441292681029785</v>
      </c>
      <c r="Q40" s="28">
        <f t="shared" si="20"/>
        <v>0.79424554267657965</v>
      </c>
      <c r="R40" s="28">
        <f t="shared" si="20"/>
        <v>0.83015212768493574</v>
      </c>
      <c r="S40" s="28">
        <f t="shared" si="20"/>
        <v>0.91570923031554119</v>
      </c>
      <c r="T40" s="28">
        <f t="shared" si="20"/>
        <v>1.0397928500723368</v>
      </c>
      <c r="V40" s="28">
        <f t="shared" si="21"/>
        <v>0.80714431643999518</v>
      </c>
      <c r="W40" s="28">
        <f t="shared" si="22"/>
        <v>0.87399436544131426</v>
      </c>
      <c r="Y40" s="30">
        <v>0.80714431643999518</v>
      </c>
    </row>
    <row r="41" spans="1:25" x14ac:dyDescent="0.25">
      <c r="A41" s="8"/>
      <c r="B41" s="9">
        <v>300</v>
      </c>
      <c r="C41" s="8" t="s">
        <v>13</v>
      </c>
      <c r="D41" s="19">
        <v>17855400</v>
      </c>
      <c r="E41" s="19">
        <v>17240200</v>
      </c>
      <c r="F41" s="19">
        <v>17255800</v>
      </c>
      <c r="G41" s="19">
        <v>16332000</v>
      </c>
      <c r="H41" s="19">
        <v>15358000</v>
      </c>
      <c r="I41" s="1"/>
      <c r="J41" s="19">
        <v>14703881</v>
      </c>
      <c r="K41" s="19">
        <f>39071578-24446114</f>
        <v>14625464</v>
      </c>
      <c r="L41" s="19">
        <v>16475057</v>
      </c>
      <c r="M41" s="19">
        <v>15651859</v>
      </c>
      <c r="N41" s="19">
        <f>32063801-19400817</f>
        <v>12662984</v>
      </c>
      <c r="P41" s="28">
        <f t="shared" si="20"/>
        <v>0.82349770937643518</v>
      </c>
      <c r="Q41" s="28">
        <f t="shared" si="20"/>
        <v>0.84833493810976668</v>
      </c>
      <c r="R41" s="28">
        <f t="shared" si="20"/>
        <v>0.95475474912782954</v>
      </c>
      <c r="S41" s="28">
        <f t="shared" si="20"/>
        <v>0.95835531471956892</v>
      </c>
      <c r="T41" s="28">
        <f t="shared" si="20"/>
        <v>0.82452038025784602</v>
      </c>
      <c r="V41" s="28">
        <f t="shared" si="21"/>
        <v>0.87494130051918384</v>
      </c>
      <c r="W41" s="28">
        <f t="shared" si="22"/>
        <v>0.88193729519022768</v>
      </c>
      <c r="Y41" s="30">
        <v>0.87494130051918384</v>
      </c>
    </row>
    <row r="42" spans="1:25" x14ac:dyDescent="0.25">
      <c r="A42" s="8"/>
      <c r="B42" s="9">
        <v>307</v>
      </c>
      <c r="C42" s="8" t="s">
        <v>14</v>
      </c>
      <c r="D42" s="19">
        <v>23668950</v>
      </c>
      <c r="E42" s="19">
        <v>23435500</v>
      </c>
      <c r="F42" s="19">
        <v>23537400</v>
      </c>
      <c r="G42" s="19">
        <v>22502000</v>
      </c>
      <c r="H42" s="19">
        <v>23845000</v>
      </c>
      <c r="I42" s="1"/>
      <c r="J42" s="19">
        <v>22324969</v>
      </c>
      <c r="K42" s="19">
        <v>24446114</v>
      </c>
      <c r="L42" s="19">
        <v>22602203</v>
      </c>
      <c r="M42" s="19">
        <v>20239205</v>
      </c>
      <c r="N42" s="19">
        <v>19400817</v>
      </c>
      <c r="P42" s="28">
        <f t="shared" si="20"/>
        <v>0.94321754872945351</v>
      </c>
      <c r="Q42" s="28">
        <f t="shared" si="20"/>
        <v>1.0431232105139638</v>
      </c>
      <c r="R42" s="28">
        <f t="shared" si="20"/>
        <v>0.96026761664414928</v>
      </c>
      <c r="S42" s="28">
        <f t="shared" si="20"/>
        <v>0.89944027197582432</v>
      </c>
      <c r="T42" s="28">
        <f t="shared" si="20"/>
        <v>0.81362201719438032</v>
      </c>
      <c r="V42" s="28">
        <f t="shared" si="21"/>
        <v>0.98204231627569205</v>
      </c>
      <c r="W42" s="28">
        <f t="shared" si="22"/>
        <v>0.93182647748054626</v>
      </c>
      <c r="Y42" s="30">
        <v>0.98204231627569205</v>
      </c>
    </row>
    <row r="43" spans="1:25" x14ac:dyDescent="0.25">
      <c r="A43" s="8"/>
      <c r="B43" s="9">
        <v>400</v>
      </c>
      <c r="C43" s="8" t="s">
        <v>15</v>
      </c>
      <c r="D43" s="19">
        <v>1577800</v>
      </c>
      <c r="E43" s="19">
        <v>1980700</v>
      </c>
      <c r="F43" s="19">
        <v>1527800</v>
      </c>
      <c r="G43" s="19">
        <v>2033000</v>
      </c>
      <c r="H43" s="19">
        <v>1330000</v>
      </c>
      <c r="I43" s="1"/>
      <c r="J43" s="19">
        <v>1219613</v>
      </c>
      <c r="K43" s="19">
        <v>1172215</v>
      </c>
      <c r="L43" s="19">
        <v>994870</v>
      </c>
      <c r="M43" s="19">
        <v>1356406</v>
      </c>
      <c r="N43" s="19">
        <v>549906</v>
      </c>
      <c r="P43" s="28">
        <f t="shared" si="20"/>
        <v>0.77298326784129801</v>
      </c>
      <c r="Q43" s="28">
        <f t="shared" si="20"/>
        <v>0.59181854899782904</v>
      </c>
      <c r="R43" s="28">
        <f t="shared" si="20"/>
        <v>0.65117816468124101</v>
      </c>
      <c r="S43" s="28">
        <f t="shared" si="20"/>
        <v>0.66719429414658138</v>
      </c>
      <c r="T43" s="28">
        <f t="shared" si="20"/>
        <v>0.41346315789473687</v>
      </c>
      <c r="V43" s="28">
        <f t="shared" si="21"/>
        <v>0.66584707940939392</v>
      </c>
      <c r="W43" s="28">
        <f t="shared" si="22"/>
        <v>0.62644361071331356</v>
      </c>
      <c r="Y43" s="30">
        <v>0.66584707940939392</v>
      </c>
    </row>
    <row r="44" spans="1:25" x14ac:dyDescent="0.25">
      <c r="A44" s="8"/>
      <c r="B44" s="9">
        <v>500</v>
      </c>
      <c r="C44" s="8" t="s">
        <v>16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"/>
      <c r="J44" s="19"/>
      <c r="K44" s="19"/>
      <c r="L44" s="19">
        <v>0</v>
      </c>
      <c r="M44" s="19">
        <v>0</v>
      </c>
      <c r="N44" s="19">
        <v>0</v>
      </c>
      <c r="P44" s="28" t="str">
        <f t="shared" si="20"/>
        <v/>
      </c>
      <c r="Q44" s="28" t="str">
        <f t="shared" si="20"/>
        <v/>
      </c>
      <c r="R44" s="28" t="str">
        <f t="shared" si="20"/>
        <v/>
      </c>
      <c r="S44" s="28" t="str">
        <f t="shared" si="20"/>
        <v/>
      </c>
      <c r="T44" s="28" t="str">
        <f t="shared" si="20"/>
        <v/>
      </c>
      <c r="V44" s="28" t="str">
        <f t="shared" si="21"/>
        <v/>
      </c>
      <c r="W44" s="28" t="str">
        <f t="shared" si="22"/>
        <v/>
      </c>
      <c r="Y44" s="30">
        <v>0</v>
      </c>
    </row>
    <row r="45" spans="1:25" x14ac:dyDescent="0.25">
      <c r="A45" s="8"/>
      <c r="B45" s="9">
        <v>800</v>
      </c>
      <c r="C45" s="8" t="s">
        <v>17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"/>
      <c r="J45" s="19"/>
      <c r="K45" s="19"/>
      <c r="L45" s="19">
        <v>0</v>
      </c>
      <c r="M45" s="19">
        <v>0</v>
      </c>
      <c r="N45" s="19">
        <v>0</v>
      </c>
      <c r="P45" s="28" t="str">
        <f t="shared" si="20"/>
        <v/>
      </c>
      <c r="Q45" s="28" t="str">
        <f t="shared" si="20"/>
        <v/>
      </c>
      <c r="R45" s="28" t="str">
        <f t="shared" si="20"/>
        <v/>
      </c>
      <c r="S45" s="28" t="str">
        <f t="shared" si="20"/>
        <v/>
      </c>
      <c r="T45" s="28" t="str">
        <f t="shared" si="20"/>
        <v/>
      </c>
      <c r="V45" s="28" t="str">
        <f t="shared" si="21"/>
        <v/>
      </c>
      <c r="W45" s="28" t="str">
        <f t="shared" si="22"/>
        <v/>
      </c>
      <c r="Y45" s="30">
        <v>0</v>
      </c>
    </row>
    <row r="46" spans="1:25" ht="3" customHeight="1" x14ac:dyDescent="0.25">
      <c r="A46" s="8"/>
      <c r="B46" s="9"/>
      <c r="C46" s="8"/>
      <c r="D46" s="8"/>
      <c r="E46" s="8"/>
      <c r="F46" s="8"/>
      <c r="G46" s="8"/>
      <c r="H46" s="8"/>
      <c r="I46" s="1"/>
      <c r="J46" s="1"/>
      <c r="K46" s="1"/>
      <c r="L46" s="1"/>
      <c r="M46" s="1"/>
      <c r="N46" s="1"/>
      <c r="Y46" s="1"/>
    </row>
    <row r="47" spans="1:25" x14ac:dyDescent="0.25">
      <c r="A47" s="10" t="str">
        <f>"Subtotal "&amp;A37</f>
        <v>Subtotal Operations</v>
      </c>
      <c r="B47" s="9"/>
      <c r="C47" s="8"/>
      <c r="D47" s="20">
        <f t="shared" ref="D47:H47" si="23">SUM(D38:D46)</f>
        <v>203554443</v>
      </c>
      <c r="E47" s="20">
        <f t="shared" si="23"/>
        <v>203943800</v>
      </c>
      <c r="F47" s="20">
        <f t="shared" si="23"/>
        <v>199537400</v>
      </c>
      <c r="G47" s="20">
        <f t="shared" si="23"/>
        <v>191199000</v>
      </c>
      <c r="H47" s="20">
        <f t="shared" si="23"/>
        <v>185057000</v>
      </c>
      <c r="I47" s="1"/>
      <c r="J47" s="21">
        <f t="shared" ref="J47:N47" si="24">SUM(J38:J46)</f>
        <v>185743395</v>
      </c>
      <c r="K47" s="21">
        <f t="shared" si="24"/>
        <v>182560545</v>
      </c>
      <c r="L47" s="21">
        <f t="shared" si="24"/>
        <v>181617417.91</v>
      </c>
      <c r="M47" s="21">
        <f t="shared" si="24"/>
        <v>174081286</v>
      </c>
      <c r="N47" s="21">
        <f t="shared" si="24"/>
        <v>167552029</v>
      </c>
      <c r="P47" s="28">
        <f>IF(D47=0,"",+J47/D47)</f>
        <v>0.91249983180175531</v>
      </c>
      <c r="Q47" s="28">
        <f>IF(E47=0,"",+K47/E47)</f>
        <v>0.8951512377429468</v>
      </c>
      <c r="R47" s="28">
        <f>IF(F47=0,"",+L47/F47)</f>
        <v>0.91019236448906315</v>
      </c>
      <c r="S47" s="28">
        <f>IF(G47=0,"",+M47/G47)</f>
        <v>0.91047173886892718</v>
      </c>
      <c r="T47" s="28">
        <f>IF(H47=0,"",+N47/H47)</f>
        <v>0.90540767979595471</v>
      </c>
      <c r="V47" s="28">
        <f>IF(SUM(D47:F47)=0,"",SUM(J47:L47)/SUM(D47:F47))</f>
        <v>0.90591279812213588</v>
      </c>
      <c r="W47" s="28">
        <f>IF(SUM(D47:H47)=0,"",SUM(J47:N47)/SUM(D47:H47))</f>
        <v>0.90670421055332817</v>
      </c>
      <c r="Y47" s="1"/>
    </row>
    <row r="48" spans="1:25" x14ac:dyDescent="0.25">
      <c r="A48" s="1"/>
      <c r="B48" s="1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Y48" s="1"/>
    </row>
    <row r="49" spans="1:25" ht="15.75" thickBot="1" x14ac:dyDescent="0.3">
      <c r="A49" s="6" t="s">
        <v>8</v>
      </c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x14ac:dyDescent="0.25">
      <c r="A50" s="8"/>
      <c r="B50" s="9">
        <v>100</v>
      </c>
      <c r="C50" s="8" t="s">
        <v>10</v>
      </c>
      <c r="D50" s="18">
        <v>12569537</v>
      </c>
      <c r="E50" s="18">
        <v>10944400</v>
      </c>
      <c r="F50" s="18">
        <v>10316699.65</v>
      </c>
      <c r="G50" s="18">
        <v>9353800</v>
      </c>
      <c r="H50" s="18">
        <v>9500405</v>
      </c>
      <c r="I50" s="1"/>
      <c r="J50" s="18">
        <v>12135854</v>
      </c>
      <c r="K50" s="18">
        <v>11080774</v>
      </c>
      <c r="L50" s="18">
        <v>10315992</v>
      </c>
      <c r="M50" s="18">
        <v>9163710</v>
      </c>
      <c r="N50" s="18">
        <v>8437905</v>
      </c>
      <c r="P50" s="28">
        <f t="shared" ref="P50:T55" si="25">IF(D50=0,"",+J50/D50)</f>
        <v>0.96549729715581412</v>
      </c>
      <c r="Q50" s="28">
        <f t="shared" si="25"/>
        <v>1.0124606191294179</v>
      </c>
      <c r="R50" s="28">
        <f t="shared" si="25"/>
        <v>0.99993140732753616</v>
      </c>
      <c r="S50" s="28">
        <f t="shared" si="25"/>
        <v>0.97967777801535205</v>
      </c>
      <c r="T50" s="28">
        <f t="shared" si="25"/>
        <v>0.88816266253912335</v>
      </c>
      <c r="V50" s="28">
        <f t="shared" ref="V50:V55" si="26">IF(SUM(D50:F50)=0,"",SUM(J50:L50)/SUM(D50:F50))</f>
        <v>0.99119092398162134</v>
      </c>
      <c r="W50" s="28">
        <f t="shared" ref="W50:W55" si="27">IF(SUM(D50:H50)=0,"",SUM(J50:N50)/SUM(D50:H50))</f>
        <v>0.97056825831799765</v>
      </c>
      <c r="Y50" s="29">
        <v>1</v>
      </c>
    </row>
    <row r="51" spans="1:25" x14ac:dyDescent="0.25">
      <c r="A51" s="8"/>
      <c r="B51" s="9">
        <v>200</v>
      </c>
      <c r="C51" s="8" t="s">
        <v>11</v>
      </c>
      <c r="D51" s="19">
        <v>22374200</v>
      </c>
      <c r="E51" s="19">
        <v>19299800</v>
      </c>
      <c r="F51" s="19">
        <v>19579700</v>
      </c>
      <c r="G51" s="19">
        <v>18102800</v>
      </c>
      <c r="H51" s="19">
        <v>16637700</v>
      </c>
      <c r="I51" s="1"/>
      <c r="J51" s="19">
        <v>22388075</v>
      </c>
      <c r="K51" s="19">
        <v>17411374</v>
      </c>
      <c r="L51" s="19">
        <v>18442416.8244</v>
      </c>
      <c r="M51" s="19">
        <v>16447254.0502</v>
      </c>
      <c r="N51" s="19">
        <v>15276151.831360001</v>
      </c>
      <c r="P51" s="28">
        <f t="shared" si="25"/>
        <v>1.0006201339042289</v>
      </c>
      <c r="Q51" s="28">
        <f t="shared" si="25"/>
        <v>0.90215307930652133</v>
      </c>
      <c r="R51" s="28">
        <f t="shared" si="25"/>
        <v>0.94191518891504977</v>
      </c>
      <c r="S51" s="28">
        <f t="shared" si="25"/>
        <v>0.90854752028415497</v>
      </c>
      <c r="T51" s="28">
        <f t="shared" si="25"/>
        <v>0.91816488044381139</v>
      </c>
      <c r="V51" s="28">
        <f t="shared" si="26"/>
        <v>0.95083016739233717</v>
      </c>
      <c r="W51" s="28">
        <f t="shared" si="27"/>
        <v>0.93719486912709304</v>
      </c>
      <c r="Y51" s="30">
        <v>0.95083016739233717</v>
      </c>
    </row>
    <row r="52" spans="1:25" x14ac:dyDescent="0.25">
      <c r="A52" s="8"/>
      <c r="B52" s="9">
        <v>300</v>
      </c>
      <c r="C52" s="8" t="s">
        <v>13</v>
      </c>
      <c r="D52" s="19">
        <v>1349600</v>
      </c>
      <c r="E52" s="19">
        <v>1179600</v>
      </c>
      <c r="F52" s="19">
        <v>1362100</v>
      </c>
      <c r="G52" s="19">
        <v>1298500</v>
      </c>
      <c r="H52" s="19">
        <v>1342500</v>
      </c>
      <c r="I52" s="1"/>
      <c r="J52" s="19">
        <v>989788</v>
      </c>
      <c r="K52" s="19">
        <v>1015983</v>
      </c>
      <c r="L52" s="19">
        <v>867520</v>
      </c>
      <c r="M52" s="19">
        <v>962010</v>
      </c>
      <c r="N52" s="19">
        <v>903646</v>
      </c>
      <c r="P52" s="28">
        <f t="shared" si="25"/>
        <v>0.73339359810314164</v>
      </c>
      <c r="Q52" s="28">
        <f t="shared" si="25"/>
        <v>0.86129450661241103</v>
      </c>
      <c r="R52" s="28">
        <f t="shared" si="25"/>
        <v>0.63689890610087363</v>
      </c>
      <c r="S52" s="28">
        <f t="shared" si="25"/>
        <v>0.74086253369272237</v>
      </c>
      <c r="T52" s="28">
        <f t="shared" si="25"/>
        <v>0.67310689013035385</v>
      </c>
      <c r="V52" s="28">
        <f t="shared" si="26"/>
        <v>0.7383884562999512</v>
      </c>
      <c r="W52" s="28">
        <f t="shared" si="27"/>
        <v>0.72546377233133807</v>
      </c>
      <c r="Y52" s="30">
        <v>0.7383884562999512</v>
      </c>
    </row>
    <row r="53" spans="1:25" x14ac:dyDescent="0.25">
      <c r="A53" s="8"/>
      <c r="B53" s="9">
        <v>400</v>
      </c>
      <c r="C53" s="8" t="s">
        <v>15</v>
      </c>
      <c r="D53" s="19">
        <v>583650</v>
      </c>
      <c r="E53" s="19">
        <v>886400</v>
      </c>
      <c r="F53" s="19">
        <v>930500</v>
      </c>
      <c r="G53" s="19">
        <v>783400</v>
      </c>
      <c r="H53" s="19">
        <v>2315160</v>
      </c>
      <c r="I53" s="1"/>
      <c r="J53" s="19">
        <v>187954</v>
      </c>
      <c r="K53" s="19">
        <v>556793</v>
      </c>
      <c r="L53" s="19">
        <v>470735</v>
      </c>
      <c r="M53" s="19">
        <v>55839</v>
      </c>
      <c r="N53" s="19">
        <v>672252</v>
      </c>
      <c r="P53" s="28">
        <f t="shared" si="25"/>
        <v>0.32203203974985006</v>
      </c>
      <c r="Q53" s="28">
        <f t="shared" si="25"/>
        <v>0.6281509476534296</v>
      </c>
      <c r="R53" s="28">
        <f t="shared" si="25"/>
        <v>0.50589468027941964</v>
      </c>
      <c r="S53" s="28">
        <f t="shared" si="25"/>
        <v>7.1277763594587693E-2</v>
      </c>
      <c r="T53" s="28">
        <f t="shared" si="25"/>
        <v>0.29036956409060283</v>
      </c>
      <c r="V53" s="28">
        <f t="shared" si="26"/>
        <v>0.50633479827539518</v>
      </c>
      <c r="W53" s="28">
        <f t="shared" si="27"/>
        <v>0.35343410115455048</v>
      </c>
      <c r="Y53" s="30">
        <v>0.50633479827539518</v>
      </c>
    </row>
    <row r="54" spans="1:25" x14ac:dyDescent="0.25">
      <c r="A54" s="8"/>
      <c r="B54" s="9">
        <v>500</v>
      </c>
      <c r="C54" s="8" t="s">
        <v>16</v>
      </c>
      <c r="D54" s="19"/>
      <c r="E54" s="19"/>
      <c r="F54" s="19"/>
      <c r="G54" s="19"/>
      <c r="H54" s="19"/>
      <c r="I54" s="1"/>
      <c r="J54" s="19"/>
      <c r="K54" s="19"/>
      <c r="L54" s="19"/>
      <c r="M54" s="19"/>
      <c r="N54" s="19"/>
      <c r="P54" s="28" t="str">
        <f t="shared" si="25"/>
        <v/>
      </c>
      <c r="Q54" s="28" t="str">
        <f t="shared" si="25"/>
        <v/>
      </c>
      <c r="R54" s="28" t="str">
        <f t="shared" si="25"/>
        <v/>
      </c>
      <c r="S54" s="28" t="str">
        <f t="shared" si="25"/>
        <v/>
      </c>
      <c r="T54" s="28" t="str">
        <f t="shared" si="25"/>
        <v/>
      </c>
      <c r="V54" s="28" t="str">
        <f t="shared" si="26"/>
        <v/>
      </c>
      <c r="W54" s="28" t="str">
        <f t="shared" si="27"/>
        <v/>
      </c>
      <c r="Y54" s="30">
        <v>0</v>
      </c>
    </row>
    <row r="55" spans="1:25" x14ac:dyDescent="0.25">
      <c r="A55" s="8"/>
      <c r="B55" s="9">
        <v>800</v>
      </c>
      <c r="C55" s="8" t="s">
        <v>17</v>
      </c>
      <c r="D55" s="19"/>
      <c r="E55" s="19"/>
      <c r="F55" s="19"/>
      <c r="G55" s="19"/>
      <c r="H55" s="19"/>
      <c r="I55" s="1"/>
      <c r="J55" s="19"/>
      <c r="K55" s="19"/>
      <c r="L55" s="19"/>
      <c r="M55" s="19"/>
      <c r="N55" s="19"/>
      <c r="P55" s="28" t="str">
        <f t="shared" si="25"/>
        <v/>
      </c>
      <c r="Q55" s="28" t="str">
        <f t="shared" si="25"/>
        <v/>
      </c>
      <c r="R55" s="28" t="str">
        <f t="shared" si="25"/>
        <v/>
      </c>
      <c r="S55" s="28" t="str">
        <f t="shared" si="25"/>
        <v/>
      </c>
      <c r="T55" s="28" t="str">
        <f t="shared" si="25"/>
        <v/>
      </c>
      <c r="V55" s="28" t="str">
        <f t="shared" si="26"/>
        <v/>
      </c>
      <c r="W55" s="28" t="str">
        <f t="shared" si="27"/>
        <v/>
      </c>
      <c r="Y55" s="30">
        <v>0</v>
      </c>
    </row>
    <row r="56" spans="1:25" ht="3" customHeight="1" x14ac:dyDescent="0.25">
      <c r="A56" s="8"/>
      <c r="B56" s="9"/>
      <c r="C56" s="8"/>
      <c r="D56" s="8"/>
      <c r="E56" s="8"/>
      <c r="F56" s="8"/>
      <c r="G56" s="8"/>
      <c r="H56" s="8"/>
      <c r="I56" s="1"/>
      <c r="J56" s="1"/>
      <c r="K56" s="1"/>
      <c r="L56" s="1"/>
      <c r="M56" s="1"/>
      <c r="N56" s="1"/>
      <c r="Y56" s="1"/>
    </row>
    <row r="57" spans="1:25" x14ac:dyDescent="0.25">
      <c r="A57" s="10" t="str">
        <f>"Subtotal "&amp;A49</f>
        <v>Subtotal Planning &amp; Environmental Services</v>
      </c>
      <c r="B57" s="8"/>
      <c r="C57" s="8"/>
      <c r="D57" s="20">
        <f t="shared" ref="D57:H57" si="28">SUM(D50:D56)</f>
        <v>36876987</v>
      </c>
      <c r="E57" s="20">
        <f t="shared" si="28"/>
        <v>32310200</v>
      </c>
      <c r="F57" s="20">
        <f t="shared" si="28"/>
        <v>32188999.649999999</v>
      </c>
      <c r="G57" s="20">
        <f t="shared" si="28"/>
        <v>29538500</v>
      </c>
      <c r="H57" s="20">
        <f t="shared" si="28"/>
        <v>29795765</v>
      </c>
      <c r="I57" s="8"/>
      <c r="J57" s="20">
        <f t="shared" ref="J57:N57" si="29">SUM(J50:J56)</f>
        <v>35701671</v>
      </c>
      <c r="K57" s="20">
        <f t="shared" si="29"/>
        <v>30064924</v>
      </c>
      <c r="L57" s="20">
        <f t="shared" si="29"/>
        <v>30096663.8244</v>
      </c>
      <c r="M57" s="20">
        <f t="shared" si="29"/>
        <v>26628813.0502</v>
      </c>
      <c r="N57" s="20">
        <f t="shared" si="29"/>
        <v>25289954.831360001</v>
      </c>
      <c r="P57" s="28">
        <f>IF(D57=0,"",+J57/D57)</f>
        <v>0.96812874110349634</v>
      </c>
      <c r="Q57" s="28">
        <f>IF(E57=0,"",+K57/E57)</f>
        <v>0.93050875574895853</v>
      </c>
      <c r="R57" s="28">
        <f>IF(F57=0,"",+L57/F57)</f>
        <v>0.93499842031903602</v>
      </c>
      <c r="S57" s="28">
        <f>IF(G57=0,"",+M57/G57)</f>
        <v>0.90149510131523269</v>
      </c>
      <c r="T57" s="28">
        <f>IF(H57=0,"",+N57/H57)</f>
        <v>0.84877682554416711</v>
      </c>
      <c r="V57" s="28">
        <f>IF(SUM(D57:F57)=0,"",SUM(J57:L57)/SUM(D57:F57))</f>
        <v>0.94561910436981311</v>
      </c>
      <c r="W57" s="28">
        <f>IF(SUM(D57:H57)=0,"",SUM(J57:N57)/SUM(D57:H57))</f>
        <v>0.91955454787597812</v>
      </c>
      <c r="Y57" s="1"/>
    </row>
    <row r="58" spans="1:25" x14ac:dyDescent="0.25">
      <c r="A58" s="1"/>
      <c r="B58" s="1"/>
      <c r="C58" s="1"/>
      <c r="D58" s="1"/>
      <c r="E58" s="22"/>
      <c r="F58" s="1"/>
      <c r="G58" s="22"/>
      <c r="H58" s="1"/>
      <c r="I58" s="1"/>
      <c r="J58" s="1"/>
      <c r="K58" s="1"/>
      <c r="L58" s="1"/>
      <c r="M58" s="1"/>
      <c r="N58" s="1"/>
      <c r="Y58" s="1"/>
    </row>
    <row r="59" spans="1:25" ht="15.75" thickBot="1" x14ac:dyDescent="0.3">
      <c r="A59" s="6" t="s">
        <v>9</v>
      </c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x14ac:dyDescent="0.25">
      <c r="A60" s="8"/>
      <c r="B60" s="9">
        <v>100</v>
      </c>
      <c r="C60" s="8" t="s">
        <v>10</v>
      </c>
      <c r="D60" s="18">
        <v>2755277</v>
      </c>
      <c r="E60" s="18">
        <f>2424900+106217*0</f>
        <v>2424900</v>
      </c>
      <c r="F60" s="18">
        <v>2301900</v>
      </c>
      <c r="G60" s="18">
        <v>2203200</v>
      </c>
      <c r="H60" s="18">
        <v>2198000</v>
      </c>
      <c r="I60" s="1"/>
      <c r="J60" s="18">
        <v>2644067</v>
      </c>
      <c r="K60" s="18">
        <v>2260265</v>
      </c>
      <c r="L60" s="18">
        <v>2110697.1</v>
      </c>
      <c r="M60" s="18">
        <v>2110095</v>
      </c>
      <c r="N60" s="18">
        <v>1803302</v>
      </c>
      <c r="P60" s="28">
        <f t="shared" ref="P60:T65" si="30">IF(D60=0,"",+J60/D60)</f>
        <v>0.95963745206017403</v>
      </c>
      <c r="Q60" s="28">
        <f t="shared" si="30"/>
        <v>0.93210647861767493</v>
      </c>
      <c r="R60" s="28">
        <f t="shared" si="30"/>
        <v>0.91693692167340024</v>
      </c>
      <c r="S60" s="28">
        <f t="shared" si="30"/>
        <v>0.95774101307189541</v>
      </c>
      <c r="T60" s="28">
        <f t="shared" si="30"/>
        <v>0.8204285714285714</v>
      </c>
      <c r="V60" s="28">
        <f t="shared" ref="V60:V65" si="31">IF(SUM(D60:F60)=0,"",SUM(J60:L60)/SUM(D60:F60))</f>
        <v>0.93757777419291455</v>
      </c>
      <c r="W60" s="28">
        <f t="shared" ref="W60:W65" si="32">IF(SUM(D60:H60)=0,"",SUM(J60:N60)/SUM(D60:H60))</f>
        <v>0.91964750968945685</v>
      </c>
      <c r="Y60" s="29">
        <v>1</v>
      </c>
    </row>
    <row r="61" spans="1:25" x14ac:dyDescent="0.25">
      <c r="A61" s="8"/>
      <c r="B61" s="9">
        <v>200</v>
      </c>
      <c r="C61" s="8" t="s">
        <v>11</v>
      </c>
      <c r="D61" s="19">
        <v>8712700</v>
      </c>
      <c r="E61" s="19">
        <v>7767700</v>
      </c>
      <c r="F61" s="19">
        <v>7645200</v>
      </c>
      <c r="G61" s="19">
        <v>3874500</v>
      </c>
      <c r="H61" s="19">
        <v>2923000</v>
      </c>
      <c r="I61" s="1"/>
      <c r="J61" s="19">
        <v>8001034</v>
      </c>
      <c r="K61" s="19">
        <v>7244654</v>
      </c>
      <c r="L61" s="19">
        <v>6591039</v>
      </c>
      <c r="M61" s="19">
        <v>4525982</v>
      </c>
      <c r="N61" s="19">
        <v>3091251</v>
      </c>
      <c r="P61" s="28">
        <f t="shared" si="30"/>
        <v>0.91831854648960709</v>
      </c>
      <c r="Q61" s="28">
        <f t="shared" si="30"/>
        <v>0.93266398032879749</v>
      </c>
      <c r="R61" s="28">
        <f t="shared" si="30"/>
        <v>0.86211466017893579</v>
      </c>
      <c r="S61" s="28">
        <f t="shared" si="30"/>
        <v>1.1681460833655957</v>
      </c>
      <c r="T61" s="28">
        <f t="shared" si="30"/>
        <v>1.0575610673965103</v>
      </c>
      <c r="V61" s="28">
        <f t="shared" si="31"/>
        <v>0.90512679477401603</v>
      </c>
      <c r="W61" s="28">
        <f t="shared" si="32"/>
        <v>0.95249053296726394</v>
      </c>
      <c r="Y61" s="30">
        <v>0.90512679477401603</v>
      </c>
    </row>
    <row r="62" spans="1:25" x14ac:dyDescent="0.25">
      <c r="A62" s="8"/>
      <c r="B62" s="9">
        <v>300</v>
      </c>
      <c r="C62" s="8" t="s">
        <v>13</v>
      </c>
      <c r="D62" s="19">
        <v>372800</v>
      </c>
      <c r="E62" s="19">
        <v>371800</v>
      </c>
      <c r="F62" s="19">
        <v>320800</v>
      </c>
      <c r="G62" s="19">
        <v>320800</v>
      </c>
      <c r="H62" s="19">
        <v>334300</v>
      </c>
      <c r="I62" s="1"/>
      <c r="J62" s="19">
        <v>156358</v>
      </c>
      <c r="K62" s="19">
        <v>168011</v>
      </c>
      <c r="L62" s="19">
        <v>219958.96</v>
      </c>
      <c r="M62" s="19">
        <v>206542</v>
      </c>
      <c r="N62" s="19">
        <v>221111</v>
      </c>
      <c r="P62" s="28">
        <f t="shared" si="30"/>
        <v>0.41941523605150216</v>
      </c>
      <c r="Q62" s="28">
        <f t="shared" si="30"/>
        <v>0.45188542227003764</v>
      </c>
      <c r="R62" s="28">
        <f t="shared" si="30"/>
        <v>0.68565760598503733</v>
      </c>
      <c r="S62" s="28">
        <f t="shared" si="30"/>
        <v>0.64383416458852871</v>
      </c>
      <c r="T62" s="28">
        <f t="shared" si="30"/>
        <v>0.66141489679928211</v>
      </c>
      <c r="V62" s="28">
        <f t="shared" si="31"/>
        <v>0.51091417308053311</v>
      </c>
      <c r="W62" s="28">
        <f t="shared" si="32"/>
        <v>0.56494098227259515</v>
      </c>
      <c r="Y62" s="30">
        <v>0.51091417308053311</v>
      </c>
    </row>
    <row r="63" spans="1:25" x14ac:dyDescent="0.25">
      <c r="A63" s="8"/>
      <c r="B63" s="9">
        <v>400</v>
      </c>
      <c r="C63" s="8" t="s">
        <v>15</v>
      </c>
      <c r="D63" s="19">
        <v>15500</v>
      </c>
      <c r="E63" s="19">
        <v>15500</v>
      </c>
      <c r="F63" s="19">
        <v>15500</v>
      </c>
      <c r="G63" s="19">
        <v>12500</v>
      </c>
      <c r="H63" s="19">
        <v>12100</v>
      </c>
      <c r="I63" s="1"/>
      <c r="J63" s="19">
        <v>13757</v>
      </c>
      <c r="K63" s="19">
        <v>1134</v>
      </c>
      <c r="L63" s="19">
        <v>17733.52</v>
      </c>
      <c r="M63" s="19">
        <v>2688</v>
      </c>
      <c r="N63" s="19">
        <v>3293</v>
      </c>
      <c r="P63" s="28">
        <f t="shared" si="30"/>
        <v>0.88754838709677419</v>
      </c>
      <c r="Q63" s="28">
        <f t="shared" si="30"/>
        <v>7.3161290322580647E-2</v>
      </c>
      <c r="R63" s="28">
        <f t="shared" si="30"/>
        <v>1.1440980645161292</v>
      </c>
      <c r="S63" s="28">
        <f t="shared" si="30"/>
        <v>0.21504000000000001</v>
      </c>
      <c r="T63" s="28">
        <f t="shared" si="30"/>
        <v>0.2721487603305785</v>
      </c>
      <c r="V63" s="28">
        <f t="shared" si="31"/>
        <v>0.70160258064516134</v>
      </c>
      <c r="W63" s="28">
        <f t="shared" si="32"/>
        <v>0.54297496483825602</v>
      </c>
      <c r="Y63" s="30">
        <v>0.70160258064516134</v>
      </c>
    </row>
    <row r="64" spans="1:25" x14ac:dyDescent="0.25">
      <c r="A64" s="8"/>
      <c r="B64" s="9">
        <v>500</v>
      </c>
      <c r="C64" s="8" t="s">
        <v>16</v>
      </c>
      <c r="D64" s="19"/>
      <c r="E64" s="19">
        <v>0</v>
      </c>
      <c r="F64" s="19">
        <v>0</v>
      </c>
      <c r="G64" s="19">
        <v>0</v>
      </c>
      <c r="H64" s="19">
        <v>0</v>
      </c>
      <c r="I64" s="1"/>
      <c r="J64" s="19">
        <v>0</v>
      </c>
      <c r="K64" s="19">
        <v>0</v>
      </c>
      <c r="L64" s="19">
        <v>0</v>
      </c>
      <c r="M64" s="19">
        <v>0</v>
      </c>
      <c r="N64" s="19">
        <v>0</v>
      </c>
      <c r="P64" s="28" t="str">
        <f t="shared" si="30"/>
        <v/>
      </c>
      <c r="Q64" s="28" t="str">
        <f t="shared" si="30"/>
        <v/>
      </c>
      <c r="R64" s="28" t="str">
        <f t="shared" si="30"/>
        <v/>
      </c>
      <c r="S64" s="28" t="str">
        <f t="shared" si="30"/>
        <v/>
      </c>
      <c r="T64" s="28" t="str">
        <f t="shared" si="30"/>
        <v/>
      </c>
      <c r="V64" s="28" t="str">
        <f t="shared" si="31"/>
        <v/>
      </c>
      <c r="W64" s="28" t="str">
        <f t="shared" si="32"/>
        <v/>
      </c>
      <c r="Y64" s="30">
        <v>0</v>
      </c>
    </row>
    <row r="65" spans="1:25" x14ac:dyDescent="0.25">
      <c r="A65" s="8"/>
      <c r="B65" s="9">
        <v>800</v>
      </c>
      <c r="C65" s="8" t="s">
        <v>17</v>
      </c>
      <c r="D65" s="19"/>
      <c r="E65" s="19">
        <v>0</v>
      </c>
      <c r="F65" s="19">
        <v>0</v>
      </c>
      <c r="G65" s="19">
        <v>0</v>
      </c>
      <c r="H65" s="19">
        <v>0</v>
      </c>
      <c r="I65" s="1"/>
      <c r="J65" s="19">
        <v>0</v>
      </c>
      <c r="K65" s="19">
        <v>0</v>
      </c>
      <c r="L65" s="19">
        <v>0</v>
      </c>
      <c r="M65" s="19">
        <v>0</v>
      </c>
      <c r="N65" s="19">
        <v>0</v>
      </c>
      <c r="P65" s="28" t="str">
        <f t="shared" si="30"/>
        <v/>
      </c>
      <c r="Q65" s="28" t="str">
        <f t="shared" si="30"/>
        <v/>
      </c>
      <c r="R65" s="28" t="str">
        <f t="shared" si="30"/>
        <v/>
      </c>
      <c r="S65" s="28" t="str">
        <f t="shared" si="30"/>
        <v/>
      </c>
      <c r="T65" s="28" t="str">
        <f t="shared" si="30"/>
        <v/>
      </c>
      <c r="V65" s="28" t="str">
        <f t="shared" si="31"/>
        <v/>
      </c>
      <c r="W65" s="28" t="str">
        <f t="shared" si="32"/>
        <v/>
      </c>
      <c r="Y65" s="30">
        <v>0</v>
      </c>
    </row>
    <row r="66" spans="1:25" ht="3" customHeight="1" x14ac:dyDescent="0.25">
      <c r="A66" s="8"/>
      <c r="B66" s="9"/>
      <c r="C66" s="8"/>
      <c r="D66" s="8"/>
      <c r="E66" s="8"/>
      <c r="F66" s="8"/>
      <c r="G66" s="8"/>
      <c r="H66" s="8"/>
      <c r="I66" s="1"/>
      <c r="J66" s="1"/>
      <c r="K66" s="1"/>
      <c r="L66" s="1"/>
      <c r="M66" s="1"/>
      <c r="N66" s="1"/>
      <c r="Y66" s="1"/>
    </row>
    <row r="67" spans="1:25" x14ac:dyDescent="0.25">
      <c r="A67" s="10" t="str">
        <f>"Subtotal "&amp;A59</f>
        <v>Subtotal Public Affairs</v>
      </c>
      <c r="B67" s="8"/>
      <c r="C67" s="8"/>
      <c r="D67" s="20">
        <f t="shared" ref="D67:H67" si="33">SUM(D60:D66)</f>
        <v>11856277</v>
      </c>
      <c r="E67" s="20">
        <f t="shared" si="33"/>
        <v>10579900</v>
      </c>
      <c r="F67" s="20">
        <f t="shared" si="33"/>
        <v>10283400</v>
      </c>
      <c r="G67" s="20">
        <f t="shared" si="33"/>
        <v>6411000</v>
      </c>
      <c r="H67" s="20">
        <f t="shared" si="33"/>
        <v>5467400</v>
      </c>
      <c r="I67" s="8"/>
      <c r="J67" s="20">
        <f t="shared" ref="J67:N67" si="34">SUM(J60:J66)</f>
        <v>10815216</v>
      </c>
      <c r="K67" s="20">
        <f t="shared" si="34"/>
        <v>9674064</v>
      </c>
      <c r="L67" s="20">
        <f t="shared" si="34"/>
        <v>8939428.5800000001</v>
      </c>
      <c r="M67" s="20">
        <f t="shared" si="34"/>
        <v>6845307</v>
      </c>
      <c r="N67" s="20">
        <f t="shared" si="34"/>
        <v>5118957</v>
      </c>
      <c r="P67" s="28">
        <f>IF(D67=0,"",+J67/D67)</f>
        <v>0.91219326269114664</v>
      </c>
      <c r="Q67" s="28">
        <f>IF(E67=0,"",+K67/E67)</f>
        <v>0.91438142137449319</v>
      </c>
      <c r="R67" s="28">
        <f>IF(F67=0,"",+L67/F67)</f>
        <v>0.86930670595328396</v>
      </c>
      <c r="S67" s="28">
        <f>IF(G67=0,"",+M67/G67)</f>
        <v>1.0677440336920918</v>
      </c>
      <c r="T67" s="28">
        <f>IF(H67=0,"",+N67/H67)</f>
        <v>0.93626897611296045</v>
      </c>
      <c r="V67" s="28">
        <f>IF(SUM(D67:F67)=0,"",SUM(J67:L67)/SUM(D67:F67))</f>
        <v>0.89942203653794173</v>
      </c>
      <c r="W67" s="28">
        <f>IF(SUM(D67:H67)=0,"",SUM(J67:N67)/SUM(D67:H67))</f>
        <v>0.92813565467330494</v>
      </c>
      <c r="Y67" s="1"/>
    </row>
    <row r="68" spans="1:2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Y68" s="1"/>
    </row>
    <row r="69" spans="1:25" x14ac:dyDescent="0.25">
      <c r="A69" t="s">
        <v>19</v>
      </c>
      <c r="D69" s="24">
        <f>+D67+D57+D47+D35+D25+D14</f>
        <v>305016459</v>
      </c>
      <c r="E69" s="24">
        <f>+E67+E57+E47+E35+E25+E14</f>
        <v>291436110</v>
      </c>
      <c r="F69" s="24">
        <f>+F67+F57+F47+F35+F25+F14</f>
        <v>290863349.64999998</v>
      </c>
      <c r="G69" s="24">
        <f>+G67+G57+G47+G35+G25+G14</f>
        <v>267779700</v>
      </c>
      <c r="H69" s="24">
        <f>+H67+H57+H47+H35+H25+H14</f>
        <v>259826360</v>
      </c>
      <c r="J69" s="24">
        <f>+J67+J57+J47+J35+J25+J14</f>
        <v>272924895</v>
      </c>
      <c r="K69" s="24">
        <f>+K67+K57+K47+K35+K25+K14</f>
        <v>254929814</v>
      </c>
      <c r="L69" s="24">
        <f>+L67+L57+L47+L35+L25+L14</f>
        <v>255118654.91439998</v>
      </c>
      <c r="M69" s="24">
        <f>+M67+M57+M47+M35+M25+M14</f>
        <v>244679963.05019999</v>
      </c>
      <c r="N69" s="24">
        <f>+N67+N57+N47+N35+N25+N14</f>
        <v>229763605.83136001</v>
      </c>
      <c r="P69" s="28">
        <f>IF(D69=0,"",+J69/D69)</f>
        <v>0.89478743506100433</v>
      </c>
      <c r="Q69" s="28">
        <f>IF(E69=0,"",+K69/E69)</f>
        <v>0.87473653831023201</v>
      </c>
      <c r="R69" s="28">
        <f>IF(F69=0,"",+L69/F69)</f>
        <v>0.87710828889713299</v>
      </c>
      <c r="S69" s="28">
        <f>IF(G69=0,"",+M69/G69)</f>
        <v>0.91373604141837483</v>
      </c>
      <c r="T69" s="28">
        <f>IF(H69=0,"",+N69/H69)</f>
        <v>0.88429675045811373</v>
      </c>
      <c r="V69" s="28">
        <f>IF(SUM(D69:F69)=0,"",SUM(J69:L69)/SUM(D69:F69))</f>
        <v>0.88240653352150922</v>
      </c>
      <c r="W69" s="28">
        <f>IF(SUM(D69:H69)=0,"",SUM(J69:N69)/SUM(D69:H69))</f>
        <v>0.88868287564214798</v>
      </c>
      <c r="Y69" s="1"/>
    </row>
    <row r="70" spans="1:25" x14ac:dyDescent="0.25">
      <c r="Y70" s="1"/>
    </row>
    <row r="71" spans="1:25" x14ac:dyDescent="0.25">
      <c r="O71" t="s">
        <v>50</v>
      </c>
      <c r="P71" t="s">
        <v>52</v>
      </c>
      <c r="Y71" s="1"/>
    </row>
    <row r="72" spans="1:25" x14ac:dyDescent="0.25">
      <c r="P72" t="s">
        <v>53</v>
      </c>
      <c r="Y72" s="1"/>
    </row>
    <row r="73" spans="1:25" x14ac:dyDescent="0.25">
      <c r="Y73" s="1"/>
    </row>
    <row r="74" spans="1:25" x14ac:dyDescent="0.25">
      <c r="Y74" s="1"/>
    </row>
    <row r="75" spans="1:25" x14ac:dyDescent="0.25">
      <c r="Y75" s="1"/>
    </row>
    <row r="76" spans="1:25" x14ac:dyDescent="0.25">
      <c r="Y76" s="1"/>
    </row>
    <row r="77" spans="1:25" x14ac:dyDescent="0.25">
      <c r="Y77" s="1"/>
    </row>
    <row r="78" spans="1:25" x14ac:dyDescent="0.25">
      <c r="Y78" s="1"/>
    </row>
    <row r="79" spans="1:25" x14ac:dyDescent="0.25">
      <c r="Y79" s="1"/>
    </row>
    <row r="80" spans="1:25" x14ac:dyDescent="0.25">
      <c r="Y80" s="1"/>
    </row>
    <row r="89" spans="25:25" x14ac:dyDescent="0.25">
      <c r="Y89" s="1"/>
    </row>
  </sheetData>
  <pageMargins left="0.7" right="0.7" top="0.75" bottom="0.75" header="0.3" footer="0.3"/>
  <pageSetup scale="67" fitToWidth="2" fitToHeight="0" orientation="landscape" horizontalDpi="1200" verticalDpi="1200" r:id="rId1"/>
  <headerFooter>
    <oddHeader>&amp;LActual to Budget Data&amp;RPWD Direct  O&amp;&amp;M</oddHeader>
    <oddFooter>&amp;L&amp;F&amp;C&amp;P&amp;R&amp;D</oddFooter>
  </headerFooter>
  <rowBreaks count="1" manualBreakCount="1">
    <brk id="48" min="3" max="24" man="1"/>
  </rowBreaks>
  <colBreaks count="1" manualBreakCount="1">
    <brk id="14" min="4" max="71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2"/>
  <sheetViews>
    <sheetView zoomScaleNormal="100" workbookViewId="0">
      <pane xSplit="3" ySplit="4" topLeftCell="L95" activePane="bottomRight" state="frozen"/>
      <selection pane="topRight" activeCell="D1" sqref="D1"/>
      <selection pane="bottomLeft" activeCell="A5" sqref="A5"/>
      <selection pane="bottomRight"/>
    </sheetView>
  </sheetViews>
  <sheetFormatPr defaultRowHeight="15" x14ac:dyDescent="0.25"/>
  <cols>
    <col min="3" max="3" width="30.85546875" customWidth="1"/>
    <col min="4" max="8" width="13.28515625" customWidth="1"/>
    <col min="9" max="9" width="5.5703125" customWidth="1"/>
    <col min="10" max="14" width="13.28515625" customWidth="1"/>
    <col min="15" max="15" width="5.85546875" customWidth="1"/>
    <col min="21" max="21" width="5.85546875" customWidth="1"/>
    <col min="24" max="24" width="5.7109375" customWidth="1"/>
  </cols>
  <sheetData>
    <row r="1" spans="1:25" x14ac:dyDescent="0.25">
      <c r="A1" s="31" t="s">
        <v>54</v>
      </c>
    </row>
    <row r="2" spans="1:25" ht="18.75" x14ac:dyDescent="0.4">
      <c r="A2" s="1"/>
      <c r="B2" s="1"/>
      <c r="C2" s="1"/>
      <c r="D2" s="14" t="s">
        <v>43</v>
      </c>
      <c r="E2" s="14"/>
      <c r="F2" s="15"/>
      <c r="G2" s="15"/>
      <c r="H2" s="15"/>
      <c r="I2" s="8"/>
      <c r="J2" s="14" t="s">
        <v>18</v>
      </c>
      <c r="K2" s="14"/>
      <c r="L2" s="14"/>
      <c r="M2" s="14"/>
      <c r="N2" s="14"/>
      <c r="P2" s="14" t="s">
        <v>46</v>
      </c>
      <c r="Q2" s="14"/>
      <c r="R2" s="15"/>
      <c r="S2" s="15"/>
      <c r="T2" s="15"/>
      <c r="V2" s="16" t="s">
        <v>48</v>
      </c>
      <c r="W2" s="16" t="s">
        <v>49</v>
      </c>
    </row>
    <row r="3" spans="1:25" ht="19.5" x14ac:dyDescent="0.4">
      <c r="A3" s="2" t="s">
        <v>0</v>
      </c>
      <c r="B3" s="3"/>
      <c r="C3" s="3"/>
      <c r="D3" s="16">
        <f t="shared" ref="D3:G3" si="0">+E3+1</f>
        <v>2015</v>
      </c>
      <c r="E3" s="16">
        <f t="shared" si="0"/>
        <v>2014</v>
      </c>
      <c r="F3" s="16">
        <f t="shared" si="0"/>
        <v>2013</v>
      </c>
      <c r="G3" s="16">
        <f t="shared" si="0"/>
        <v>2012</v>
      </c>
      <c r="H3" s="16">
        <f>+N3</f>
        <v>2011</v>
      </c>
      <c r="I3" s="13"/>
      <c r="J3" s="16">
        <f t="shared" ref="J3:M3" si="1">+K3+1</f>
        <v>2015</v>
      </c>
      <c r="K3" s="16">
        <f t="shared" si="1"/>
        <v>2014</v>
      </c>
      <c r="L3" s="16">
        <f t="shared" si="1"/>
        <v>2013</v>
      </c>
      <c r="M3" s="16">
        <f t="shared" si="1"/>
        <v>2012</v>
      </c>
      <c r="N3" s="17">
        <v>2011</v>
      </c>
      <c r="P3" s="16">
        <f>+J3</f>
        <v>2015</v>
      </c>
      <c r="Q3" s="16">
        <f>+K3</f>
        <v>2014</v>
      </c>
      <c r="R3" s="16">
        <f>+L3</f>
        <v>2013</v>
      </c>
      <c r="S3" s="16">
        <f>+M3</f>
        <v>2012</v>
      </c>
      <c r="T3" s="16">
        <f>+N3</f>
        <v>2011</v>
      </c>
      <c r="V3" s="16" t="s">
        <v>47</v>
      </c>
      <c r="W3" s="16" t="s">
        <v>47</v>
      </c>
      <c r="Y3" s="16" t="s">
        <v>51</v>
      </c>
    </row>
    <row r="4" spans="1:25" ht="18.75" x14ac:dyDescent="0.4">
      <c r="A4" s="3"/>
      <c r="B4" s="3"/>
      <c r="C4" s="3"/>
      <c r="D4" s="16"/>
      <c r="E4" s="16"/>
      <c r="F4" s="16"/>
      <c r="G4" s="16"/>
      <c r="H4" s="16"/>
      <c r="I4" s="13"/>
      <c r="J4" s="16"/>
      <c r="K4" s="16"/>
      <c r="L4" s="16"/>
      <c r="M4" s="16"/>
      <c r="N4" s="16"/>
    </row>
    <row r="5" spans="1:25" ht="18.75" x14ac:dyDescent="0.4">
      <c r="A5" s="4" t="s">
        <v>20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5.75" thickBot="1" x14ac:dyDescent="0.3">
      <c r="A6" s="6" t="s">
        <v>21</v>
      </c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x14ac:dyDescent="0.25">
      <c r="A7" s="8"/>
      <c r="B7" s="9">
        <v>100</v>
      </c>
      <c r="C7" s="25" t="s">
        <v>10</v>
      </c>
      <c r="D7" s="18">
        <v>5816911</v>
      </c>
      <c r="E7" s="18">
        <f>5601271+245350*0</f>
        <v>5601271</v>
      </c>
      <c r="F7" s="18">
        <v>5601271</v>
      </c>
      <c r="G7" s="18">
        <v>5149616</v>
      </c>
      <c r="H7" s="18">
        <v>5142942</v>
      </c>
      <c r="I7" s="1"/>
      <c r="J7" s="18">
        <v>5233042</v>
      </c>
      <c r="K7" s="18">
        <v>4621214</v>
      </c>
      <c r="L7" s="18">
        <v>4039582</v>
      </c>
      <c r="M7" s="18">
        <v>3994808</v>
      </c>
      <c r="N7" s="18">
        <v>4442039</v>
      </c>
      <c r="P7" s="28">
        <f t="shared" ref="P7:T12" si="2">IF(D7=0,"",+J7/D7)</f>
        <v>0.89962559165852807</v>
      </c>
      <c r="Q7" s="28">
        <f t="shared" si="2"/>
        <v>0.82502953347552721</v>
      </c>
      <c r="R7" s="28">
        <f t="shared" si="2"/>
        <v>0.72119024414280264</v>
      </c>
      <c r="S7" s="28">
        <f t="shared" si="2"/>
        <v>0.77574871602076734</v>
      </c>
      <c r="T7" s="28">
        <f t="shared" si="2"/>
        <v>0.86371555424891044</v>
      </c>
      <c r="V7" s="28">
        <f t="shared" ref="V7:V12" si="3">IF(SUM(D7:F7)=0,"",SUM(J7:L7)/SUM(D7:F7))</f>
        <v>0.81635044322517303</v>
      </c>
      <c r="W7" s="28">
        <f t="shared" ref="W7:W12" si="4">IF(SUM(D7:H7)=0,"",SUM(J7:N7)/SUM(D7:H7))</f>
        <v>0.81761408927376311</v>
      </c>
      <c r="Y7" s="30">
        <v>0.81635044322517303</v>
      </c>
    </row>
    <row r="8" spans="1:25" x14ac:dyDescent="0.25">
      <c r="A8" s="8"/>
      <c r="B8" s="9">
        <v>200</v>
      </c>
      <c r="C8" s="25" t="s">
        <v>11</v>
      </c>
      <c r="D8" s="19">
        <v>11551218</v>
      </c>
      <c r="E8" s="19">
        <v>10814511</v>
      </c>
      <c r="F8" s="19">
        <v>10035811</v>
      </c>
      <c r="G8" s="19">
        <v>10457725</v>
      </c>
      <c r="H8" s="19">
        <v>10457725</v>
      </c>
      <c r="I8" s="1"/>
      <c r="J8" s="19">
        <f>5878774+4348165</f>
        <v>10226939</v>
      </c>
      <c r="K8" s="19">
        <v>9567462</v>
      </c>
      <c r="L8" s="19">
        <v>9214801</v>
      </c>
      <c r="M8" s="19">
        <v>6797598</v>
      </c>
      <c r="N8" s="19">
        <v>5734828</v>
      </c>
      <c r="P8" s="28">
        <f t="shared" si="2"/>
        <v>0.88535589926534153</v>
      </c>
      <c r="Q8" s="28">
        <f t="shared" si="2"/>
        <v>0.88468743524325788</v>
      </c>
      <c r="R8" s="28">
        <f t="shared" si="2"/>
        <v>0.91819196276215242</v>
      </c>
      <c r="S8" s="28">
        <f t="shared" si="2"/>
        <v>0.65000733907231256</v>
      </c>
      <c r="T8" s="28">
        <f t="shared" si="2"/>
        <v>0.54838198556569429</v>
      </c>
      <c r="V8" s="28">
        <f t="shared" si="3"/>
        <v>0.89530318620658156</v>
      </c>
      <c r="W8" s="28">
        <f t="shared" si="4"/>
        <v>0.77914428402653635</v>
      </c>
      <c r="Y8" s="30">
        <v>0.89530318620658156</v>
      </c>
    </row>
    <row r="9" spans="1:25" x14ac:dyDescent="0.25">
      <c r="A9" s="8"/>
      <c r="B9" s="9">
        <v>300</v>
      </c>
      <c r="C9" s="25" t="s">
        <v>13</v>
      </c>
      <c r="D9" s="19">
        <f>1817650-300000*0</f>
        <v>1817650</v>
      </c>
      <c r="E9" s="19">
        <f>905350+300000</f>
        <v>1205350</v>
      </c>
      <c r="F9" s="19">
        <f>1034050+300000</f>
        <v>1334050</v>
      </c>
      <c r="G9" s="19">
        <f>954358+300000</f>
        <v>1254358</v>
      </c>
      <c r="H9" s="19">
        <f>954358+300000</f>
        <v>1254358</v>
      </c>
      <c r="I9" s="1"/>
      <c r="J9" s="19">
        <f>245345+89663+300126+973940</f>
        <v>1609074</v>
      </c>
      <c r="K9" s="19">
        <v>944117</v>
      </c>
      <c r="L9" s="19">
        <v>791307</v>
      </c>
      <c r="M9" s="19">
        <v>737735</v>
      </c>
      <c r="N9" s="19">
        <v>732780</v>
      </c>
      <c r="P9" s="28">
        <f t="shared" si="2"/>
        <v>0.88524963551838909</v>
      </c>
      <c r="Q9" s="28">
        <f t="shared" si="2"/>
        <v>0.783272078649355</v>
      </c>
      <c r="R9" s="28">
        <f t="shared" si="2"/>
        <v>0.59316142573366815</v>
      </c>
      <c r="S9" s="28">
        <f t="shared" si="2"/>
        <v>0.58813751735947795</v>
      </c>
      <c r="T9" s="28">
        <f t="shared" si="2"/>
        <v>0.58418728943411691</v>
      </c>
      <c r="V9" s="28">
        <f t="shared" si="3"/>
        <v>0.76760606373578455</v>
      </c>
      <c r="W9" s="28">
        <f t="shared" si="4"/>
        <v>0.70130747246556324</v>
      </c>
      <c r="Y9" s="30">
        <v>0.76760606373578455</v>
      </c>
    </row>
    <row r="10" spans="1:25" x14ac:dyDescent="0.25">
      <c r="A10" s="8"/>
      <c r="B10" s="9">
        <v>400</v>
      </c>
      <c r="C10" s="25" t="s">
        <v>15</v>
      </c>
      <c r="D10" s="19">
        <f>300000*0</f>
        <v>0</v>
      </c>
      <c r="E10" s="19">
        <f>300000*0</f>
        <v>0</v>
      </c>
      <c r="F10" s="19">
        <f>300000*0</f>
        <v>0</v>
      </c>
      <c r="G10" s="19">
        <f>300000*0</f>
        <v>0</v>
      </c>
      <c r="H10" s="19">
        <f>300000*0</f>
        <v>0</v>
      </c>
      <c r="I10" s="1"/>
      <c r="J10" s="19"/>
      <c r="K10" s="19"/>
      <c r="L10" s="19"/>
      <c r="M10" s="19"/>
      <c r="N10" s="19"/>
      <c r="P10" s="28" t="str">
        <f t="shared" si="2"/>
        <v/>
      </c>
      <c r="Q10" s="28" t="str">
        <f t="shared" si="2"/>
        <v/>
      </c>
      <c r="R10" s="28" t="str">
        <f t="shared" si="2"/>
        <v/>
      </c>
      <c r="S10" s="28" t="str">
        <f t="shared" si="2"/>
        <v/>
      </c>
      <c r="T10" s="28" t="str">
        <f t="shared" si="2"/>
        <v/>
      </c>
      <c r="V10" s="28" t="str">
        <f t="shared" si="3"/>
        <v/>
      </c>
      <c r="W10" s="28" t="str">
        <f t="shared" si="4"/>
        <v/>
      </c>
      <c r="Y10" s="30">
        <v>1.018E-7</v>
      </c>
    </row>
    <row r="11" spans="1:25" x14ac:dyDescent="0.25">
      <c r="A11" s="8"/>
      <c r="B11" s="9">
        <v>500</v>
      </c>
      <c r="C11" s="25" t="s">
        <v>16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"/>
      <c r="J11" s="19"/>
      <c r="K11" s="19"/>
      <c r="L11" s="19">
        <v>0</v>
      </c>
      <c r="M11" s="19">
        <v>0</v>
      </c>
      <c r="N11" s="19">
        <v>0</v>
      </c>
      <c r="P11" s="28" t="str">
        <f t="shared" si="2"/>
        <v/>
      </c>
      <c r="Q11" s="28" t="str">
        <f t="shared" si="2"/>
        <v/>
      </c>
      <c r="R11" s="28" t="str">
        <f t="shared" si="2"/>
        <v/>
      </c>
      <c r="S11" s="28" t="str">
        <f t="shared" si="2"/>
        <v/>
      </c>
      <c r="T11" s="28" t="str">
        <f t="shared" si="2"/>
        <v/>
      </c>
      <c r="V11" s="28" t="str">
        <f t="shared" si="3"/>
        <v/>
      </c>
      <c r="W11" s="28" t="str">
        <f t="shared" si="4"/>
        <v/>
      </c>
      <c r="Y11" s="30">
        <v>1.018E-7</v>
      </c>
    </row>
    <row r="12" spans="1:25" x14ac:dyDescent="0.25">
      <c r="A12" s="8"/>
      <c r="B12" s="9">
        <v>800</v>
      </c>
      <c r="C12" s="25" t="s">
        <v>17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"/>
      <c r="J12" s="19"/>
      <c r="K12" s="19"/>
      <c r="L12" s="19">
        <v>0</v>
      </c>
      <c r="M12" s="19">
        <v>0</v>
      </c>
      <c r="N12" s="19">
        <v>0</v>
      </c>
      <c r="P12" s="28" t="str">
        <f t="shared" si="2"/>
        <v/>
      </c>
      <c r="Q12" s="28" t="str">
        <f t="shared" si="2"/>
        <v/>
      </c>
      <c r="R12" s="28" t="str">
        <f t="shared" si="2"/>
        <v/>
      </c>
      <c r="S12" s="28" t="str">
        <f t="shared" si="2"/>
        <v/>
      </c>
      <c r="T12" s="28" t="str">
        <f t="shared" si="2"/>
        <v/>
      </c>
      <c r="V12" s="28" t="str">
        <f t="shared" si="3"/>
        <v/>
      </c>
      <c r="W12" s="28" t="str">
        <f t="shared" si="4"/>
        <v/>
      </c>
      <c r="Y12" s="30">
        <v>1.018E-7</v>
      </c>
    </row>
    <row r="13" spans="1:25" ht="3" customHeight="1" x14ac:dyDescent="0.25">
      <c r="A13" s="8"/>
      <c r="B13" s="9"/>
      <c r="C13" s="8"/>
      <c r="D13" s="8"/>
      <c r="E13" s="8"/>
      <c r="F13" s="8"/>
      <c r="G13" s="8"/>
      <c r="H13" s="8"/>
      <c r="I13" s="1"/>
      <c r="J13" s="1"/>
      <c r="K13" s="1"/>
      <c r="L13" s="1"/>
      <c r="M13" s="1"/>
      <c r="N13" s="1"/>
      <c r="Y13" s="1"/>
    </row>
    <row r="14" spans="1:25" x14ac:dyDescent="0.25">
      <c r="A14" s="10" t="s">
        <v>33</v>
      </c>
      <c r="B14" s="9"/>
      <c r="C14" s="1"/>
      <c r="D14" s="20">
        <f t="shared" ref="D14:H14" si="5">SUM(D7:D13)</f>
        <v>19185779</v>
      </c>
      <c r="E14" s="20">
        <f t="shared" si="5"/>
        <v>17621132</v>
      </c>
      <c r="F14" s="20">
        <f t="shared" si="5"/>
        <v>16971132</v>
      </c>
      <c r="G14" s="20">
        <f t="shared" si="5"/>
        <v>16861699</v>
      </c>
      <c r="H14" s="20">
        <f t="shared" si="5"/>
        <v>16855025</v>
      </c>
      <c r="I14" s="8"/>
      <c r="J14" s="20">
        <f t="shared" ref="J14:N14" si="6">SUM(J7:J13)</f>
        <v>17069055</v>
      </c>
      <c r="K14" s="20">
        <f t="shared" si="6"/>
        <v>15132793</v>
      </c>
      <c r="L14" s="20">
        <f t="shared" si="6"/>
        <v>14045690</v>
      </c>
      <c r="M14" s="20">
        <f t="shared" si="6"/>
        <v>11530141</v>
      </c>
      <c r="N14" s="20">
        <f t="shared" si="6"/>
        <v>10909647</v>
      </c>
      <c r="P14" s="28">
        <f>IF(D14=0,"",+J14/D14)</f>
        <v>0.88967224109065368</v>
      </c>
      <c r="Q14" s="28">
        <f>IF(E14=0,"",+K14/E14)</f>
        <v>0.85878665456907077</v>
      </c>
      <c r="R14" s="28">
        <f>IF(F14=0,"",+L14/F14)</f>
        <v>0.82762245912647425</v>
      </c>
      <c r="S14" s="28">
        <f>IF(G14=0,"",+M14/G14)</f>
        <v>0.68380659623920459</v>
      </c>
      <c r="T14" s="28">
        <f>IF(H14=0,"",+N14/H14)</f>
        <v>0.64726376852007039</v>
      </c>
      <c r="V14" s="28">
        <f>IF(SUM(D14:F14)=0,"",SUM(J14:L14)/SUM(D14:F14))</f>
        <v>0.85997063894645631</v>
      </c>
      <c r="W14" s="28">
        <f>IF(SUM(D14:H14)=0,"",SUM(J14:N14)/SUM(D14:H14))</f>
        <v>0.78504496160324655</v>
      </c>
      <c r="Y14" s="1"/>
    </row>
    <row r="15" spans="1:25" x14ac:dyDescent="0.25">
      <c r="A15" s="8"/>
      <c r="B15" s="9"/>
      <c r="C15" s="1"/>
      <c r="D15" s="1"/>
      <c r="E15" s="1"/>
      <c r="F15" s="1"/>
      <c r="G15" s="1"/>
      <c r="H15" s="1"/>
      <c r="I15" s="1"/>
      <c r="J15" s="22"/>
      <c r="K15" s="1"/>
      <c r="L15" s="1"/>
      <c r="M15" s="1"/>
      <c r="N15" s="1"/>
      <c r="Y15" s="1"/>
    </row>
    <row r="16" spans="1:25" ht="15.75" thickBot="1" x14ac:dyDescent="0.3">
      <c r="A16" s="6" t="s">
        <v>22</v>
      </c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x14ac:dyDescent="0.25">
      <c r="A17" s="8"/>
      <c r="B17" s="9">
        <v>100</v>
      </c>
      <c r="C17" s="25" t="s">
        <v>10</v>
      </c>
      <c r="D17" s="18">
        <v>230886</v>
      </c>
      <c r="E17" s="18">
        <f>224100+9816*0</f>
        <v>224100</v>
      </c>
      <c r="F17" s="18">
        <v>169948</v>
      </c>
      <c r="G17" s="18">
        <v>56160</v>
      </c>
      <c r="H17" s="18">
        <v>0</v>
      </c>
      <c r="I17" s="1"/>
      <c r="J17" s="18">
        <v>227983</v>
      </c>
      <c r="K17" s="18">
        <v>208176</v>
      </c>
      <c r="L17" s="18">
        <v>169948</v>
      </c>
      <c r="M17" s="18">
        <v>56160</v>
      </c>
      <c r="N17" s="18">
        <v>0</v>
      </c>
      <c r="P17" s="28">
        <f t="shared" ref="P17:T22" si="7">IF(D17=0,"",+J17/D17)</f>
        <v>0.98742669542544803</v>
      </c>
      <c r="Q17" s="28">
        <f t="shared" si="7"/>
        <v>0.92894243641231589</v>
      </c>
      <c r="R17" s="28">
        <f t="shared" si="7"/>
        <v>1</v>
      </c>
      <c r="S17" s="28">
        <f t="shared" si="7"/>
        <v>1</v>
      </c>
      <c r="T17" s="28" t="str">
        <f t="shared" si="7"/>
        <v/>
      </c>
      <c r="V17" s="28">
        <f t="shared" ref="V17:V22" si="8">IF(SUM(D17:F17)=0,"",SUM(J17:L17)/SUM(D17:F17))</f>
        <v>0.96987361865412991</v>
      </c>
      <c r="W17" s="28">
        <f t="shared" ref="W17:W22" si="9">IF(SUM(D17:H17)=0,"",SUM(J17:N17)/SUM(D17:H17))</f>
        <v>0.97235770686571898</v>
      </c>
      <c r="Y17" s="30">
        <v>0.96987361865412991</v>
      </c>
    </row>
    <row r="18" spans="1:25" x14ac:dyDescent="0.25">
      <c r="A18" s="8"/>
      <c r="B18" s="9">
        <v>200</v>
      </c>
      <c r="C18" s="25" t="s">
        <v>11</v>
      </c>
      <c r="D18" s="19">
        <v>0</v>
      </c>
      <c r="E18" s="19">
        <v>86400</v>
      </c>
      <c r="F18" s="19">
        <v>66400</v>
      </c>
      <c r="G18" s="19">
        <v>0</v>
      </c>
      <c r="H18" s="19">
        <v>0</v>
      </c>
      <c r="I18" s="1"/>
      <c r="J18" s="19">
        <v>0</v>
      </c>
      <c r="K18" s="19">
        <v>0</v>
      </c>
      <c r="L18" s="19">
        <v>0</v>
      </c>
      <c r="M18" s="19">
        <v>0</v>
      </c>
      <c r="N18" s="19">
        <v>0</v>
      </c>
      <c r="P18" s="28" t="str">
        <f t="shared" si="7"/>
        <v/>
      </c>
      <c r="Q18" s="28">
        <f t="shared" si="7"/>
        <v>0</v>
      </c>
      <c r="R18" s="28">
        <f t="shared" si="7"/>
        <v>0</v>
      </c>
      <c r="S18" s="28" t="str">
        <f t="shared" si="7"/>
        <v/>
      </c>
      <c r="T18" s="28" t="str">
        <f t="shared" si="7"/>
        <v/>
      </c>
      <c r="V18" s="28">
        <f t="shared" si="8"/>
        <v>0</v>
      </c>
      <c r="W18" s="28">
        <f t="shared" si="9"/>
        <v>0</v>
      </c>
      <c r="Y18" s="29">
        <v>0.96</v>
      </c>
    </row>
    <row r="19" spans="1:25" x14ac:dyDescent="0.25">
      <c r="A19" s="8"/>
      <c r="B19" s="9">
        <v>300</v>
      </c>
      <c r="C19" s="25" t="s">
        <v>13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"/>
      <c r="J19" s="19">
        <v>0</v>
      </c>
      <c r="K19" s="19">
        <v>0</v>
      </c>
      <c r="L19" s="19">
        <v>0</v>
      </c>
      <c r="M19" s="19">
        <v>0</v>
      </c>
      <c r="N19" s="19">
        <v>0</v>
      </c>
      <c r="P19" s="28" t="str">
        <f t="shared" si="7"/>
        <v/>
      </c>
      <c r="Q19" s="28" t="str">
        <f t="shared" si="7"/>
        <v/>
      </c>
      <c r="R19" s="28" t="str">
        <f t="shared" si="7"/>
        <v/>
      </c>
      <c r="S19" s="28" t="str">
        <f t="shared" si="7"/>
        <v/>
      </c>
      <c r="T19" s="28" t="str">
        <f t="shared" si="7"/>
        <v/>
      </c>
      <c r="V19" s="28" t="str">
        <f t="shared" si="8"/>
        <v/>
      </c>
      <c r="W19" s="28" t="str">
        <f t="shared" si="9"/>
        <v/>
      </c>
      <c r="Y19" s="30">
        <v>1.018E-7</v>
      </c>
    </row>
    <row r="20" spans="1:25" x14ac:dyDescent="0.25">
      <c r="A20" s="8"/>
      <c r="B20" s="9">
        <v>400</v>
      </c>
      <c r="C20" s="25" t="s">
        <v>15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"/>
      <c r="J20" s="19">
        <v>0</v>
      </c>
      <c r="K20" s="19">
        <v>0</v>
      </c>
      <c r="L20" s="19">
        <v>0</v>
      </c>
      <c r="M20" s="19">
        <v>0</v>
      </c>
      <c r="N20" s="19">
        <v>0</v>
      </c>
      <c r="P20" s="28" t="str">
        <f t="shared" si="7"/>
        <v/>
      </c>
      <c r="Q20" s="28" t="str">
        <f t="shared" si="7"/>
        <v/>
      </c>
      <c r="R20" s="28" t="str">
        <f t="shared" si="7"/>
        <v/>
      </c>
      <c r="S20" s="28" t="str">
        <f t="shared" si="7"/>
        <v/>
      </c>
      <c r="T20" s="28" t="str">
        <f t="shared" si="7"/>
        <v/>
      </c>
      <c r="V20" s="28" t="str">
        <f t="shared" si="8"/>
        <v/>
      </c>
      <c r="W20" s="28" t="str">
        <f t="shared" si="9"/>
        <v/>
      </c>
      <c r="Y20" s="30">
        <v>1.018E-7</v>
      </c>
    </row>
    <row r="21" spans="1:25" x14ac:dyDescent="0.25">
      <c r="A21" s="8"/>
      <c r="B21" s="9">
        <v>500</v>
      </c>
      <c r="C21" s="25" t="s">
        <v>16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"/>
      <c r="J21" s="19">
        <v>0</v>
      </c>
      <c r="K21" s="19">
        <v>0</v>
      </c>
      <c r="L21" s="19">
        <v>0</v>
      </c>
      <c r="M21" s="19">
        <v>0</v>
      </c>
      <c r="N21" s="19">
        <v>0</v>
      </c>
      <c r="P21" s="28" t="str">
        <f t="shared" si="7"/>
        <v/>
      </c>
      <c r="Q21" s="28" t="str">
        <f t="shared" si="7"/>
        <v/>
      </c>
      <c r="R21" s="28" t="str">
        <f t="shared" si="7"/>
        <v/>
      </c>
      <c r="S21" s="28" t="str">
        <f t="shared" si="7"/>
        <v/>
      </c>
      <c r="T21" s="28" t="str">
        <f t="shared" si="7"/>
        <v/>
      </c>
      <c r="V21" s="28" t="str">
        <f t="shared" si="8"/>
        <v/>
      </c>
      <c r="W21" s="28" t="str">
        <f t="shared" si="9"/>
        <v/>
      </c>
      <c r="Y21" s="30">
        <v>1.018E-7</v>
      </c>
    </row>
    <row r="22" spans="1:25" x14ac:dyDescent="0.25">
      <c r="A22" s="8"/>
      <c r="B22" s="9">
        <v>800</v>
      </c>
      <c r="C22" s="25" t="s">
        <v>17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"/>
      <c r="J22" s="19">
        <v>0</v>
      </c>
      <c r="K22" s="19">
        <v>0</v>
      </c>
      <c r="L22" s="19">
        <v>0</v>
      </c>
      <c r="M22" s="19">
        <v>0</v>
      </c>
      <c r="N22" s="19">
        <v>0</v>
      </c>
      <c r="P22" s="28" t="str">
        <f t="shared" si="7"/>
        <v/>
      </c>
      <c r="Q22" s="28" t="str">
        <f t="shared" si="7"/>
        <v/>
      </c>
      <c r="R22" s="28" t="str">
        <f t="shared" si="7"/>
        <v/>
      </c>
      <c r="S22" s="28" t="str">
        <f t="shared" si="7"/>
        <v/>
      </c>
      <c r="T22" s="28" t="str">
        <f t="shared" si="7"/>
        <v/>
      </c>
      <c r="V22" s="28" t="str">
        <f t="shared" si="8"/>
        <v/>
      </c>
      <c r="W22" s="28" t="str">
        <f t="shared" si="9"/>
        <v/>
      </c>
      <c r="Y22" s="30">
        <v>1.018E-7</v>
      </c>
    </row>
    <row r="23" spans="1:25" ht="3" customHeight="1" x14ac:dyDescent="0.25">
      <c r="A23" s="8"/>
      <c r="B23" s="9"/>
      <c r="C23" s="8"/>
      <c r="D23" s="8"/>
      <c r="E23" s="8"/>
      <c r="F23" s="8"/>
      <c r="G23" s="8"/>
      <c r="H23" s="8"/>
      <c r="I23" s="1"/>
      <c r="J23" s="1"/>
      <c r="K23" s="1"/>
      <c r="L23" s="1"/>
      <c r="M23" s="1"/>
      <c r="N23" s="1"/>
      <c r="Y23" s="1"/>
    </row>
    <row r="24" spans="1:25" x14ac:dyDescent="0.25">
      <c r="A24" s="10" t="s">
        <v>34</v>
      </c>
      <c r="B24" s="8"/>
      <c r="C24" s="8"/>
      <c r="D24" s="20">
        <f t="shared" ref="D24:H24" si="10">SUM(D17:D23)</f>
        <v>230886</v>
      </c>
      <c r="E24" s="20">
        <f t="shared" si="10"/>
        <v>310500</v>
      </c>
      <c r="F24" s="20">
        <f t="shared" si="10"/>
        <v>236348</v>
      </c>
      <c r="G24" s="20">
        <f t="shared" si="10"/>
        <v>56160</v>
      </c>
      <c r="H24" s="20">
        <f t="shared" si="10"/>
        <v>0</v>
      </c>
      <c r="I24" s="8"/>
      <c r="J24" s="20">
        <f t="shared" ref="J24:N24" si="11">SUM(J17:J23)</f>
        <v>227983</v>
      </c>
      <c r="K24" s="20">
        <f t="shared" si="11"/>
        <v>208176</v>
      </c>
      <c r="L24" s="20">
        <f t="shared" si="11"/>
        <v>169948</v>
      </c>
      <c r="M24" s="20">
        <f t="shared" si="11"/>
        <v>56160</v>
      </c>
      <c r="N24" s="20">
        <f t="shared" si="11"/>
        <v>0</v>
      </c>
      <c r="P24" s="28">
        <f>IF(D24=0,"",+J24/D24)</f>
        <v>0.98742669542544803</v>
      </c>
      <c r="Q24" s="28">
        <f>IF(E24=0,"",+K24/E24)</f>
        <v>0.6704541062801932</v>
      </c>
      <c r="R24" s="28">
        <f>IF(F24=0,"",+L24/F24)</f>
        <v>0.71905833770541738</v>
      </c>
      <c r="S24" s="28">
        <f>IF(G24=0,"",+M24/G24)</f>
        <v>1</v>
      </c>
      <c r="T24" s="28" t="str">
        <f>IF(H24=0,"",+N24/H24)</f>
        <v/>
      </c>
      <c r="V24" s="28">
        <f>IF(SUM(D24:F24)=0,"",SUM(J24:L24)/SUM(D24:F24))</f>
        <v>0.77932429339594256</v>
      </c>
      <c r="W24" s="28">
        <f>IF(SUM(D24:H24)=0,"",SUM(J24:N24)/SUM(D24:H24))</f>
        <v>0.79418607161102006</v>
      </c>
      <c r="Y24" s="1"/>
    </row>
    <row r="25" spans="1:25" x14ac:dyDescent="0.25">
      <c r="A25" s="8"/>
      <c r="B25" s="8"/>
      <c r="C25" s="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Y25" s="1"/>
    </row>
    <row r="26" spans="1:25" ht="15.75" thickBot="1" x14ac:dyDescent="0.3">
      <c r="A26" s="6" t="s">
        <v>23</v>
      </c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x14ac:dyDescent="0.25">
      <c r="A27" s="8"/>
      <c r="B27" s="9">
        <v>100</v>
      </c>
      <c r="C27" s="25" t="s">
        <v>10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"/>
      <c r="J27" s="18">
        <v>0</v>
      </c>
      <c r="K27" s="18">
        <v>0</v>
      </c>
      <c r="L27" s="18">
        <v>0</v>
      </c>
      <c r="M27" s="18">
        <v>0</v>
      </c>
      <c r="N27" s="18">
        <v>0</v>
      </c>
      <c r="P27" s="28" t="str">
        <f t="shared" ref="P27:T32" si="12">IF(D27=0,"",+J27/D27)</f>
        <v/>
      </c>
      <c r="Q27" s="28" t="str">
        <f t="shared" si="12"/>
        <v/>
      </c>
      <c r="R27" s="28" t="str">
        <f t="shared" si="12"/>
        <v/>
      </c>
      <c r="S27" s="28" t="str">
        <f t="shared" si="12"/>
        <v/>
      </c>
      <c r="T27" s="28" t="str">
        <f t="shared" si="12"/>
        <v/>
      </c>
      <c r="V27" s="28" t="str">
        <f t="shared" ref="V27:V32" si="13">IF(SUM(D27:F27)=0,"",SUM(J27:L27)/SUM(D27:F27))</f>
        <v/>
      </c>
      <c r="W27" s="28" t="str">
        <f t="shared" ref="W27:W32" si="14">IF(SUM(D27:H27)=0,"",SUM(J27:N27)/SUM(D27:H27))</f>
        <v/>
      </c>
      <c r="Y27" s="29">
        <v>1</v>
      </c>
    </row>
    <row r="28" spans="1:25" x14ac:dyDescent="0.25">
      <c r="A28" s="8"/>
      <c r="B28" s="9">
        <v>200</v>
      </c>
      <c r="C28" s="25" t="s">
        <v>11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"/>
      <c r="J28" s="19">
        <v>0</v>
      </c>
      <c r="K28" s="19">
        <v>0</v>
      </c>
      <c r="L28" s="19">
        <v>0</v>
      </c>
      <c r="M28" s="19">
        <v>0</v>
      </c>
      <c r="N28" s="19">
        <v>0</v>
      </c>
      <c r="P28" s="28" t="str">
        <f t="shared" si="12"/>
        <v/>
      </c>
      <c r="Q28" s="28" t="str">
        <f t="shared" si="12"/>
        <v/>
      </c>
      <c r="R28" s="28" t="str">
        <f t="shared" si="12"/>
        <v/>
      </c>
      <c r="S28" s="28" t="str">
        <f t="shared" si="12"/>
        <v/>
      </c>
      <c r="T28" s="28" t="str">
        <f t="shared" si="12"/>
        <v/>
      </c>
      <c r="V28" s="28" t="str">
        <f t="shared" si="13"/>
        <v/>
      </c>
      <c r="W28" s="28" t="str">
        <f t="shared" si="14"/>
        <v/>
      </c>
      <c r="Y28" s="30">
        <v>1.018E-7</v>
      </c>
    </row>
    <row r="29" spans="1:25" x14ac:dyDescent="0.25">
      <c r="A29" s="8"/>
      <c r="B29" s="9">
        <v>300</v>
      </c>
      <c r="C29" s="25" t="s">
        <v>13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"/>
      <c r="J29" s="19">
        <v>0</v>
      </c>
      <c r="K29" s="19">
        <v>0</v>
      </c>
      <c r="L29" s="19">
        <v>0</v>
      </c>
      <c r="M29" s="19">
        <v>0</v>
      </c>
      <c r="N29" s="19">
        <v>0</v>
      </c>
      <c r="P29" s="28" t="str">
        <f t="shared" si="12"/>
        <v/>
      </c>
      <c r="Q29" s="28" t="str">
        <f t="shared" si="12"/>
        <v/>
      </c>
      <c r="R29" s="28" t="str">
        <f t="shared" si="12"/>
        <v/>
      </c>
      <c r="S29" s="28" t="str">
        <f t="shared" si="12"/>
        <v/>
      </c>
      <c r="T29" s="28" t="str">
        <f t="shared" si="12"/>
        <v/>
      </c>
      <c r="V29" s="28" t="str">
        <f t="shared" si="13"/>
        <v/>
      </c>
      <c r="W29" s="28" t="str">
        <f t="shared" si="14"/>
        <v/>
      </c>
      <c r="Y29" s="30">
        <v>1.018E-7</v>
      </c>
    </row>
    <row r="30" spans="1:25" x14ac:dyDescent="0.25">
      <c r="A30" s="8"/>
      <c r="B30" s="9">
        <v>400</v>
      </c>
      <c r="C30" s="25" t="s">
        <v>15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"/>
      <c r="J30" s="19">
        <v>0</v>
      </c>
      <c r="K30" s="19">
        <v>0</v>
      </c>
      <c r="L30" s="19">
        <v>0</v>
      </c>
      <c r="M30" s="19">
        <v>0</v>
      </c>
      <c r="N30" s="19">
        <v>0</v>
      </c>
      <c r="P30" s="28" t="str">
        <f t="shared" si="12"/>
        <v/>
      </c>
      <c r="Q30" s="28" t="str">
        <f t="shared" si="12"/>
        <v/>
      </c>
      <c r="R30" s="28" t="str">
        <f t="shared" si="12"/>
        <v/>
      </c>
      <c r="S30" s="28" t="str">
        <f t="shared" si="12"/>
        <v/>
      </c>
      <c r="T30" s="28" t="str">
        <f t="shared" si="12"/>
        <v/>
      </c>
      <c r="V30" s="28" t="str">
        <f t="shared" si="13"/>
        <v/>
      </c>
      <c r="W30" s="28" t="str">
        <f t="shared" si="14"/>
        <v/>
      </c>
      <c r="Y30" s="30">
        <v>1.018E-7</v>
      </c>
    </row>
    <row r="31" spans="1:25" x14ac:dyDescent="0.25">
      <c r="A31" s="8"/>
      <c r="B31" s="9">
        <v>500</v>
      </c>
      <c r="C31" s="25" t="s">
        <v>16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"/>
      <c r="J31" s="19">
        <v>0</v>
      </c>
      <c r="K31" s="19">
        <v>0</v>
      </c>
      <c r="L31" s="19">
        <v>0</v>
      </c>
      <c r="M31" s="19">
        <v>0</v>
      </c>
      <c r="N31" s="19">
        <v>0</v>
      </c>
      <c r="P31" s="28" t="str">
        <f t="shared" si="12"/>
        <v/>
      </c>
      <c r="Q31" s="28" t="str">
        <f t="shared" si="12"/>
        <v/>
      </c>
      <c r="R31" s="28" t="str">
        <f t="shared" si="12"/>
        <v/>
      </c>
      <c r="S31" s="28" t="str">
        <f t="shared" si="12"/>
        <v/>
      </c>
      <c r="T31" s="28" t="str">
        <f t="shared" si="12"/>
        <v/>
      </c>
      <c r="V31" s="28" t="str">
        <f t="shared" si="13"/>
        <v/>
      </c>
      <c r="W31" s="28" t="str">
        <f t="shared" si="14"/>
        <v/>
      </c>
      <c r="Y31" s="30">
        <v>1.018E-7</v>
      </c>
    </row>
    <row r="32" spans="1:25" x14ac:dyDescent="0.25">
      <c r="A32" s="8"/>
      <c r="B32" s="9">
        <v>800</v>
      </c>
      <c r="C32" s="25" t="s">
        <v>17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"/>
      <c r="J32" s="19">
        <v>0</v>
      </c>
      <c r="K32" s="19">
        <v>0</v>
      </c>
      <c r="L32" s="19">
        <v>0</v>
      </c>
      <c r="M32" s="19">
        <v>0</v>
      </c>
      <c r="N32" s="19">
        <v>0</v>
      </c>
      <c r="P32" s="28" t="str">
        <f t="shared" si="12"/>
        <v/>
      </c>
      <c r="Q32" s="28" t="str">
        <f t="shared" si="12"/>
        <v/>
      </c>
      <c r="R32" s="28" t="str">
        <f t="shared" si="12"/>
        <v/>
      </c>
      <c r="S32" s="28" t="str">
        <f t="shared" si="12"/>
        <v/>
      </c>
      <c r="T32" s="28" t="str">
        <f t="shared" si="12"/>
        <v/>
      </c>
      <c r="V32" s="28" t="str">
        <f t="shared" si="13"/>
        <v/>
      </c>
      <c r="W32" s="28" t="str">
        <f t="shared" si="14"/>
        <v/>
      </c>
      <c r="Y32" s="30">
        <v>1.018E-7</v>
      </c>
    </row>
    <row r="33" spans="1:25" ht="3" customHeight="1" x14ac:dyDescent="0.25">
      <c r="A33" s="8"/>
      <c r="B33" s="9"/>
      <c r="C33" s="8"/>
      <c r="D33" s="8"/>
      <c r="E33" s="8"/>
      <c r="F33" s="8"/>
      <c r="G33" s="8"/>
      <c r="H33" s="8"/>
      <c r="I33" s="1"/>
      <c r="J33" s="1"/>
      <c r="K33" s="1"/>
      <c r="L33" s="1"/>
      <c r="M33" s="1"/>
      <c r="N33" s="1"/>
      <c r="Y33" s="1"/>
    </row>
    <row r="34" spans="1:25" x14ac:dyDescent="0.25">
      <c r="A34" s="10" t="s">
        <v>35</v>
      </c>
      <c r="B34" s="9"/>
      <c r="C34" s="8"/>
      <c r="D34" s="20">
        <f t="shared" ref="D34:H34" si="15">SUM(D27:D33)</f>
        <v>0</v>
      </c>
      <c r="E34" s="20">
        <f t="shared" si="15"/>
        <v>0</v>
      </c>
      <c r="F34" s="20">
        <f t="shared" si="15"/>
        <v>0</v>
      </c>
      <c r="G34" s="20">
        <f t="shared" si="15"/>
        <v>0</v>
      </c>
      <c r="H34" s="20">
        <f t="shared" si="15"/>
        <v>0</v>
      </c>
      <c r="I34" s="8"/>
      <c r="J34" s="20">
        <f t="shared" ref="J34:N34" si="16">SUM(J27:J33)</f>
        <v>0</v>
      </c>
      <c r="K34" s="20">
        <f t="shared" si="16"/>
        <v>0</v>
      </c>
      <c r="L34" s="20">
        <f t="shared" si="16"/>
        <v>0</v>
      </c>
      <c r="M34" s="20">
        <f t="shared" si="16"/>
        <v>0</v>
      </c>
      <c r="N34" s="20">
        <f t="shared" si="16"/>
        <v>0</v>
      </c>
      <c r="P34" s="28" t="str">
        <f>IF(D34=0,"",+J34/D34)</f>
        <v/>
      </c>
      <c r="Q34" s="28" t="str">
        <f>IF(E34=0,"",+K34/E34)</f>
        <v/>
      </c>
      <c r="R34" s="28" t="str">
        <f>IF(F34=0,"",+L34/F34)</f>
        <v/>
      </c>
      <c r="S34" s="28" t="str">
        <f>IF(G34=0,"",+M34/G34)</f>
        <v/>
      </c>
      <c r="T34" s="28" t="str">
        <f>IF(H34=0,"",+N34/H34)</f>
        <v/>
      </c>
      <c r="V34" s="28" t="str">
        <f>IF(SUM(D34:F34)=0,"",SUM(J34:L34)/SUM(D34:F34))</f>
        <v/>
      </c>
      <c r="W34" s="28" t="str">
        <f>IF(SUM(D34:H34)=0,"",SUM(J34:N34)/SUM(D34:H34))</f>
        <v/>
      </c>
      <c r="Y34" s="1"/>
    </row>
    <row r="35" spans="1:25" x14ac:dyDescent="0.25">
      <c r="A35" s="1"/>
      <c r="B35" s="1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Y35" s="1"/>
    </row>
    <row r="36" spans="1:25" ht="15.75" thickBot="1" x14ac:dyDescent="0.3">
      <c r="A36" s="6" t="s">
        <v>24</v>
      </c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x14ac:dyDescent="0.25">
      <c r="A37" s="8"/>
      <c r="B37" s="9">
        <v>100</v>
      </c>
      <c r="C37" s="25" t="s">
        <v>10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"/>
      <c r="J37" s="18">
        <v>0</v>
      </c>
      <c r="K37" s="18">
        <v>0</v>
      </c>
      <c r="L37" s="18">
        <v>0</v>
      </c>
      <c r="M37" s="18">
        <v>0</v>
      </c>
      <c r="N37" s="18">
        <v>0</v>
      </c>
      <c r="P37" s="28" t="str">
        <f t="shared" ref="P37:T42" si="17">IF(D37=0,"",+J37/D37)</f>
        <v/>
      </c>
      <c r="Q37" s="28" t="str">
        <f t="shared" si="17"/>
        <v/>
      </c>
      <c r="R37" s="28" t="str">
        <f t="shared" si="17"/>
        <v/>
      </c>
      <c r="S37" s="28" t="str">
        <f t="shared" si="17"/>
        <v/>
      </c>
      <c r="T37" s="28" t="str">
        <f t="shared" si="17"/>
        <v/>
      </c>
      <c r="V37" s="28" t="str">
        <f t="shared" ref="V37:V42" si="18">IF(SUM(D37:F37)=0,"",SUM(J37:L37)/SUM(D37:F37))</f>
        <v/>
      </c>
      <c r="W37" s="28" t="str">
        <f t="shared" ref="W37:W42" si="19">IF(SUM(D37:H37)=0,"",SUM(J37:N37)/SUM(D37:H37))</f>
        <v/>
      </c>
      <c r="Y37" s="30">
        <v>1.018E-7</v>
      </c>
    </row>
    <row r="38" spans="1:25" x14ac:dyDescent="0.25">
      <c r="A38" s="8"/>
      <c r="B38" s="9">
        <v>200</v>
      </c>
      <c r="C38" s="25" t="s">
        <v>11</v>
      </c>
      <c r="D38" s="19">
        <v>3959919</v>
      </c>
      <c r="E38" s="19">
        <v>3786428</v>
      </c>
      <c r="F38" s="19">
        <v>3739360</v>
      </c>
      <c r="G38" s="19">
        <v>3739360</v>
      </c>
      <c r="H38" s="19">
        <v>2500266</v>
      </c>
      <c r="I38" s="1"/>
      <c r="J38" s="19">
        <v>3959919</v>
      </c>
      <c r="K38" s="19">
        <v>3786428</v>
      </c>
      <c r="L38" s="19">
        <v>3739360</v>
      </c>
      <c r="M38" s="19">
        <v>3725560</v>
      </c>
      <c r="N38" s="19">
        <v>2500266</v>
      </c>
      <c r="P38" s="28">
        <f t="shared" si="17"/>
        <v>1</v>
      </c>
      <c r="Q38" s="28">
        <f t="shared" si="17"/>
        <v>1</v>
      </c>
      <c r="R38" s="28">
        <f t="shared" si="17"/>
        <v>1</v>
      </c>
      <c r="S38" s="28">
        <f t="shared" si="17"/>
        <v>0.99630952890334179</v>
      </c>
      <c r="T38" s="28">
        <f t="shared" si="17"/>
        <v>1</v>
      </c>
      <c r="V38" s="28">
        <f t="shared" si="18"/>
        <v>1</v>
      </c>
      <c r="W38" s="28">
        <f t="shared" si="19"/>
        <v>0.99922145327255629</v>
      </c>
      <c r="Y38" s="30">
        <v>1</v>
      </c>
    </row>
    <row r="39" spans="1:25" x14ac:dyDescent="0.25">
      <c r="A39" s="8"/>
      <c r="B39" s="9">
        <v>300</v>
      </c>
      <c r="C39" s="25" t="s">
        <v>13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"/>
      <c r="J39" s="19">
        <v>0</v>
      </c>
      <c r="K39" s="19">
        <v>0</v>
      </c>
      <c r="L39" s="19">
        <v>0</v>
      </c>
      <c r="M39" s="19">
        <v>0</v>
      </c>
      <c r="N39" s="19">
        <v>0</v>
      </c>
      <c r="P39" s="28" t="str">
        <f t="shared" si="17"/>
        <v/>
      </c>
      <c r="Q39" s="28" t="str">
        <f t="shared" si="17"/>
        <v/>
      </c>
      <c r="R39" s="28" t="str">
        <f t="shared" si="17"/>
        <v/>
      </c>
      <c r="S39" s="28" t="str">
        <f t="shared" si="17"/>
        <v/>
      </c>
      <c r="T39" s="28" t="str">
        <f t="shared" si="17"/>
        <v/>
      </c>
      <c r="V39" s="28" t="str">
        <f t="shared" si="18"/>
        <v/>
      </c>
      <c r="W39" s="28" t="str">
        <f t="shared" si="19"/>
        <v/>
      </c>
      <c r="Y39" s="30">
        <v>1.018E-7</v>
      </c>
    </row>
    <row r="40" spans="1:25" x14ac:dyDescent="0.25">
      <c r="A40" s="8"/>
      <c r="B40" s="9">
        <v>400</v>
      </c>
      <c r="C40" s="25" t="s">
        <v>15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"/>
      <c r="J40" s="19">
        <v>0</v>
      </c>
      <c r="K40" s="19">
        <v>0</v>
      </c>
      <c r="L40" s="19">
        <v>0</v>
      </c>
      <c r="M40" s="19">
        <v>0</v>
      </c>
      <c r="N40" s="19">
        <v>0</v>
      </c>
      <c r="P40" s="28" t="str">
        <f t="shared" si="17"/>
        <v/>
      </c>
      <c r="Q40" s="28" t="str">
        <f t="shared" si="17"/>
        <v/>
      </c>
      <c r="R40" s="28" t="str">
        <f t="shared" si="17"/>
        <v/>
      </c>
      <c r="S40" s="28" t="str">
        <f t="shared" si="17"/>
        <v/>
      </c>
      <c r="T40" s="28" t="str">
        <f t="shared" si="17"/>
        <v/>
      </c>
      <c r="V40" s="28" t="str">
        <f t="shared" si="18"/>
        <v/>
      </c>
      <c r="W40" s="28" t="str">
        <f t="shared" si="19"/>
        <v/>
      </c>
      <c r="Y40" s="30">
        <v>1.018E-7</v>
      </c>
    </row>
    <row r="41" spans="1:25" x14ac:dyDescent="0.25">
      <c r="A41" s="8"/>
      <c r="B41" s="9">
        <v>500</v>
      </c>
      <c r="C41" s="25" t="s">
        <v>16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"/>
      <c r="J41" s="19">
        <v>0</v>
      </c>
      <c r="K41" s="19">
        <v>0</v>
      </c>
      <c r="L41" s="19">
        <v>0</v>
      </c>
      <c r="M41" s="19">
        <v>0</v>
      </c>
      <c r="N41" s="19">
        <v>0</v>
      </c>
      <c r="P41" s="28" t="str">
        <f t="shared" si="17"/>
        <v/>
      </c>
      <c r="Q41" s="28" t="str">
        <f t="shared" si="17"/>
        <v/>
      </c>
      <c r="R41" s="28" t="str">
        <f t="shared" si="17"/>
        <v/>
      </c>
      <c r="S41" s="28" t="str">
        <f t="shared" si="17"/>
        <v/>
      </c>
      <c r="T41" s="28" t="str">
        <f t="shared" si="17"/>
        <v/>
      </c>
      <c r="V41" s="28" t="str">
        <f t="shared" si="18"/>
        <v/>
      </c>
      <c r="W41" s="28" t="str">
        <f t="shared" si="19"/>
        <v/>
      </c>
      <c r="Y41" s="30">
        <v>1.018E-7</v>
      </c>
    </row>
    <row r="42" spans="1:25" x14ac:dyDescent="0.25">
      <c r="A42" s="8"/>
      <c r="B42" s="9">
        <v>800</v>
      </c>
      <c r="C42" s="25" t="s">
        <v>17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"/>
      <c r="J42" s="19">
        <v>0</v>
      </c>
      <c r="K42" s="19">
        <v>0</v>
      </c>
      <c r="L42" s="19">
        <v>0</v>
      </c>
      <c r="M42" s="19">
        <v>0</v>
      </c>
      <c r="N42" s="19">
        <v>0</v>
      </c>
      <c r="P42" s="28" t="str">
        <f t="shared" si="17"/>
        <v/>
      </c>
      <c r="Q42" s="28" t="str">
        <f t="shared" si="17"/>
        <v/>
      </c>
      <c r="R42" s="28" t="str">
        <f t="shared" si="17"/>
        <v/>
      </c>
      <c r="S42" s="28" t="str">
        <f t="shared" si="17"/>
        <v/>
      </c>
      <c r="T42" s="28" t="str">
        <f t="shared" si="17"/>
        <v/>
      </c>
      <c r="V42" s="28" t="str">
        <f t="shared" si="18"/>
        <v/>
      </c>
      <c r="W42" s="28" t="str">
        <f t="shared" si="19"/>
        <v/>
      </c>
      <c r="Y42" s="30">
        <v>1.018E-7</v>
      </c>
    </row>
    <row r="43" spans="1:25" ht="3" customHeight="1" x14ac:dyDescent="0.25">
      <c r="A43" s="8"/>
      <c r="B43" s="9"/>
      <c r="C43" s="8"/>
      <c r="D43" s="8"/>
      <c r="E43" s="8"/>
      <c r="F43" s="8"/>
      <c r="G43" s="8"/>
      <c r="H43" s="8"/>
      <c r="I43" s="1"/>
      <c r="J43" s="1"/>
      <c r="K43" s="1"/>
      <c r="L43" s="1"/>
      <c r="M43" s="1"/>
      <c r="N43" s="1"/>
      <c r="Y43" s="1"/>
    </row>
    <row r="44" spans="1:25" x14ac:dyDescent="0.25">
      <c r="A44" s="10" t="s">
        <v>36</v>
      </c>
      <c r="B44" s="9"/>
      <c r="C44" s="8"/>
      <c r="D44" s="20">
        <f t="shared" ref="D44:H44" si="20">SUM(D37:D43)</f>
        <v>3959919</v>
      </c>
      <c r="E44" s="20">
        <f t="shared" si="20"/>
        <v>3786428</v>
      </c>
      <c r="F44" s="20">
        <f t="shared" si="20"/>
        <v>3739360</v>
      </c>
      <c r="G44" s="20">
        <f t="shared" si="20"/>
        <v>3739360</v>
      </c>
      <c r="H44" s="20">
        <f t="shared" si="20"/>
        <v>2500266</v>
      </c>
      <c r="I44" s="8"/>
      <c r="J44" s="20">
        <f t="shared" ref="J44:N44" si="21">SUM(J37:J43)</f>
        <v>3959919</v>
      </c>
      <c r="K44" s="20">
        <f t="shared" si="21"/>
        <v>3786428</v>
      </c>
      <c r="L44" s="20">
        <f t="shared" si="21"/>
        <v>3739360</v>
      </c>
      <c r="M44" s="20">
        <f t="shared" si="21"/>
        <v>3725560</v>
      </c>
      <c r="N44" s="20">
        <f t="shared" si="21"/>
        <v>2500266</v>
      </c>
      <c r="P44" s="28">
        <f>IF(D44=0,"",+J44/D44)</f>
        <v>1</v>
      </c>
      <c r="Q44" s="28">
        <f>IF(E44=0,"",+K44/E44)</f>
        <v>1</v>
      </c>
      <c r="R44" s="28">
        <f>IF(F44=0,"",+L44/F44)</f>
        <v>1</v>
      </c>
      <c r="S44" s="28">
        <f>IF(G44=0,"",+M44/G44)</f>
        <v>0.99630952890334179</v>
      </c>
      <c r="T44" s="28">
        <f>IF(H44=0,"",+N44/H44)</f>
        <v>1</v>
      </c>
      <c r="V44" s="28">
        <f>IF(SUM(D44:F44)=0,"",SUM(J44:L44)/SUM(D44:F44))</f>
        <v>1</v>
      </c>
      <c r="W44" s="28">
        <f>IF(SUM(D44:H44)=0,"",SUM(J44:N44)/SUM(D44:H44))</f>
        <v>0.99922145327255629</v>
      </c>
      <c r="Y44" s="1"/>
    </row>
    <row r="45" spans="1:25" x14ac:dyDescent="0.25">
      <c r="A45" s="1"/>
      <c r="B45" s="1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Y45" s="1"/>
    </row>
    <row r="46" spans="1:25" ht="15.75" thickBot="1" x14ac:dyDescent="0.3">
      <c r="A46" s="6" t="s">
        <v>25</v>
      </c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x14ac:dyDescent="0.25">
      <c r="A47" s="8"/>
      <c r="B47" s="9">
        <v>100</v>
      </c>
      <c r="C47" s="25" t="s">
        <v>10</v>
      </c>
      <c r="D47" s="18">
        <v>2969317</v>
      </c>
      <c r="E47" s="18">
        <f>2745986+120281*0</f>
        <v>2745986</v>
      </c>
      <c r="F47" s="18">
        <v>2745986</v>
      </c>
      <c r="G47" s="18">
        <v>2745986</v>
      </c>
      <c r="H47" s="18">
        <v>2745986</v>
      </c>
      <c r="I47" s="1"/>
      <c r="J47" s="18">
        <v>2602612</v>
      </c>
      <c r="K47" s="18">
        <v>2521284</v>
      </c>
      <c r="L47" s="18">
        <v>2554406</v>
      </c>
      <c r="M47" s="18">
        <v>2387074</v>
      </c>
      <c r="N47" s="18">
        <v>2233948</v>
      </c>
      <c r="P47" s="28">
        <f t="shared" ref="P47:T52" si="22">IF(D47=0,"",+J47/D47)</f>
        <v>0.87650190262609218</v>
      </c>
      <c r="Q47" s="28">
        <f t="shared" si="22"/>
        <v>0.91817074085592565</v>
      </c>
      <c r="R47" s="28">
        <f t="shared" si="22"/>
        <v>0.93023271058191848</v>
      </c>
      <c r="S47" s="28">
        <f t="shared" si="22"/>
        <v>0.86929576479996618</v>
      </c>
      <c r="T47" s="28">
        <f t="shared" si="22"/>
        <v>0.81353218843795994</v>
      </c>
      <c r="V47" s="28">
        <f t="shared" ref="V47:V52" si="23">IF(SUM(D47:F47)=0,"",SUM(J47:L47)/SUM(D47:F47))</f>
        <v>0.90746244455188807</v>
      </c>
      <c r="W47" s="28">
        <f t="shared" ref="W47:W52" si="24">IF(SUM(D47:H47)=0,"",SUM(J47:N47)/SUM(D47:H47))</f>
        <v>0.88146591682044795</v>
      </c>
      <c r="Y47" s="30">
        <v>0.90746244455188807</v>
      </c>
    </row>
    <row r="48" spans="1:25" x14ac:dyDescent="0.25">
      <c r="A48" s="8"/>
      <c r="B48" s="9">
        <v>200</v>
      </c>
      <c r="C48" s="25" t="s">
        <v>11</v>
      </c>
      <c r="D48" s="19">
        <v>1489000</v>
      </c>
      <c r="E48" s="19">
        <v>1489000</v>
      </c>
      <c r="F48" s="19">
        <v>1489000</v>
      </c>
      <c r="G48" s="19">
        <v>1489000</v>
      </c>
      <c r="H48" s="19">
        <v>1489000</v>
      </c>
      <c r="I48" s="1"/>
      <c r="J48" s="19">
        <f>1176938+311333</f>
        <v>1488271</v>
      </c>
      <c r="K48" s="19">
        <v>1438785</v>
      </c>
      <c r="L48" s="19">
        <v>894932</v>
      </c>
      <c r="M48" s="19">
        <v>1256788</v>
      </c>
      <c r="N48" s="19">
        <v>1350082</v>
      </c>
      <c r="P48" s="28">
        <f t="shared" si="22"/>
        <v>0.99951040967092009</v>
      </c>
      <c r="Q48" s="28">
        <f t="shared" si="22"/>
        <v>0.96627602417730019</v>
      </c>
      <c r="R48" s="28">
        <f t="shared" si="22"/>
        <v>0.60102887844190733</v>
      </c>
      <c r="S48" s="28">
        <f t="shared" si="22"/>
        <v>0.84404835460040295</v>
      </c>
      <c r="T48" s="28">
        <f t="shared" si="22"/>
        <v>0.90670382807253191</v>
      </c>
      <c r="V48" s="28">
        <f t="shared" si="23"/>
        <v>0.8556051040967092</v>
      </c>
      <c r="W48" s="28">
        <f t="shared" si="24"/>
        <v>0.86351349899261254</v>
      </c>
      <c r="Y48" s="30">
        <v>0.8556051040967092</v>
      </c>
    </row>
    <row r="49" spans="1:25" x14ac:dyDescent="0.25">
      <c r="A49" s="8"/>
      <c r="B49" s="9">
        <v>300</v>
      </c>
      <c r="C49" s="25" t="s">
        <v>13</v>
      </c>
      <c r="D49" s="19">
        <v>4274640</v>
      </c>
      <c r="E49" s="19">
        <v>4274640</v>
      </c>
      <c r="F49" s="19">
        <v>4274640</v>
      </c>
      <c r="G49" s="19">
        <v>4274640</v>
      </c>
      <c r="H49" s="19">
        <v>4274640</v>
      </c>
      <c r="I49" s="1"/>
      <c r="J49" s="19">
        <f>3349103+824458+40470+18466</f>
        <v>4232497</v>
      </c>
      <c r="K49" s="19">
        <v>4225827</v>
      </c>
      <c r="L49" s="19">
        <v>3769562</v>
      </c>
      <c r="M49" s="19">
        <v>3958404</v>
      </c>
      <c r="N49" s="19">
        <v>4671274</v>
      </c>
      <c r="P49" s="28">
        <f t="shared" si="22"/>
        <v>0.99014115808582714</v>
      </c>
      <c r="Q49" s="28">
        <f t="shared" si="22"/>
        <v>0.98858079276851385</v>
      </c>
      <c r="R49" s="28">
        <f t="shared" si="22"/>
        <v>0.88184314936462482</v>
      </c>
      <c r="S49" s="28">
        <f t="shared" si="22"/>
        <v>0.92602043680871371</v>
      </c>
      <c r="T49" s="28">
        <f t="shared" si="22"/>
        <v>1.0927876967417138</v>
      </c>
      <c r="V49" s="28">
        <f t="shared" si="23"/>
        <v>0.95352170007298864</v>
      </c>
      <c r="W49" s="28">
        <f t="shared" si="24"/>
        <v>0.97587464675387869</v>
      </c>
      <c r="Y49" s="30">
        <v>0.95352170007298864</v>
      </c>
    </row>
    <row r="50" spans="1:25" x14ac:dyDescent="0.25">
      <c r="A50" s="8"/>
      <c r="B50" s="9">
        <v>400</v>
      </c>
      <c r="C50" s="25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"/>
      <c r="J50" s="19">
        <v>0</v>
      </c>
      <c r="K50" s="19">
        <v>0</v>
      </c>
      <c r="L50" s="19">
        <v>0</v>
      </c>
      <c r="M50" s="19">
        <v>0</v>
      </c>
      <c r="N50" s="19">
        <v>0</v>
      </c>
      <c r="P50" s="28" t="str">
        <f t="shared" si="22"/>
        <v/>
      </c>
      <c r="Q50" s="28" t="str">
        <f t="shared" si="22"/>
        <v/>
      </c>
      <c r="R50" s="28" t="str">
        <f t="shared" si="22"/>
        <v/>
      </c>
      <c r="S50" s="28" t="str">
        <f t="shared" si="22"/>
        <v/>
      </c>
      <c r="T50" s="28" t="str">
        <f t="shared" si="22"/>
        <v/>
      </c>
      <c r="V50" s="28" t="str">
        <f t="shared" si="23"/>
        <v/>
      </c>
      <c r="W50" s="28" t="str">
        <f t="shared" si="24"/>
        <v/>
      </c>
      <c r="Y50" s="30">
        <v>1.018E-7</v>
      </c>
    </row>
    <row r="51" spans="1:25" x14ac:dyDescent="0.25">
      <c r="A51" s="8"/>
      <c r="B51" s="9">
        <v>500</v>
      </c>
      <c r="C51" s="25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"/>
      <c r="J51" s="19">
        <v>0</v>
      </c>
      <c r="K51" s="19">
        <v>0</v>
      </c>
      <c r="L51" s="19">
        <v>0</v>
      </c>
      <c r="M51" s="19">
        <v>0</v>
      </c>
      <c r="N51" s="19">
        <v>0</v>
      </c>
      <c r="P51" s="28" t="str">
        <f t="shared" si="22"/>
        <v/>
      </c>
      <c r="Q51" s="28" t="str">
        <f t="shared" si="22"/>
        <v/>
      </c>
      <c r="R51" s="28" t="str">
        <f t="shared" si="22"/>
        <v/>
      </c>
      <c r="S51" s="28" t="str">
        <f t="shared" si="22"/>
        <v/>
      </c>
      <c r="T51" s="28" t="str">
        <f t="shared" si="22"/>
        <v/>
      </c>
      <c r="V51" s="28" t="str">
        <f t="shared" si="23"/>
        <v/>
      </c>
      <c r="W51" s="28" t="str">
        <f t="shared" si="24"/>
        <v/>
      </c>
      <c r="Y51" s="30">
        <v>1.018E-7</v>
      </c>
    </row>
    <row r="52" spans="1:25" x14ac:dyDescent="0.25">
      <c r="A52" s="8"/>
      <c r="B52" s="9">
        <v>800</v>
      </c>
      <c r="C52" s="25" t="s">
        <v>17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"/>
      <c r="J52" s="19">
        <v>0</v>
      </c>
      <c r="K52" s="19">
        <v>0</v>
      </c>
      <c r="L52" s="19">
        <v>0</v>
      </c>
      <c r="M52" s="19">
        <v>0</v>
      </c>
      <c r="N52" s="19">
        <v>0</v>
      </c>
      <c r="P52" s="28" t="str">
        <f t="shared" si="22"/>
        <v/>
      </c>
      <c r="Q52" s="28" t="str">
        <f t="shared" si="22"/>
        <v/>
      </c>
      <c r="R52" s="28" t="str">
        <f t="shared" si="22"/>
        <v/>
      </c>
      <c r="S52" s="28" t="str">
        <f t="shared" si="22"/>
        <v/>
      </c>
      <c r="T52" s="28" t="str">
        <f t="shared" si="22"/>
        <v/>
      </c>
      <c r="V52" s="28" t="str">
        <f t="shared" si="23"/>
        <v/>
      </c>
      <c r="W52" s="28" t="str">
        <f t="shared" si="24"/>
        <v/>
      </c>
      <c r="Y52" s="30">
        <v>1.018E-7</v>
      </c>
    </row>
    <row r="53" spans="1:25" ht="3" customHeight="1" x14ac:dyDescent="0.25">
      <c r="A53" s="8"/>
      <c r="B53" s="9"/>
      <c r="C53" s="8"/>
      <c r="D53" s="8"/>
      <c r="E53" s="8"/>
      <c r="F53" s="8"/>
      <c r="G53" s="8"/>
      <c r="H53" s="8"/>
      <c r="I53" s="1"/>
      <c r="J53" s="1"/>
      <c r="K53" s="1"/>
      <c r="L53" s="1"/>
      <c r="M53" s="1"/>
      <c r="N53" s="1"/>
      <c r="Y53" s="1"/>
    </row>
    <row r="54" spans="1:25" x14ac:dyDescent="0.25">
      <c r="A54" s="10" t="s">
        <v>37</v>
      </c>
      <c r="B54" s="9"/>
      <c r="C54" s="8"/>
      <c r="D54" s="20">
        <f t="shared" ref="D54:H54" si="25">SUM(D47:D53)</f>
        <v>8732957</v>
      </c>
      <c r="E54" s="20">
        <f t="shared" si="25"/>
        <v>8509626</v>
      </c>
      <c r="F54" s="20">
        <f t="shared" si="25"/>
        <v>8509626</v>
      </c>
      <c r="G54" s="20">
        <f t="shared" si="25"/>
        <v>8509626</v>
      </c>
      <c r="H54" s="20">
        <f t="shared" si="25"/>
        <v>8509626</v>
      </c>
      <c r="I54" s="8"/>
      <c r="J54" s="20">
        <f t="shared" ref="J54:N54" si="26">SUM(J47:J53)</f>
        <v>8323380</v>
      </c>
      <c r="K54" s="20">
        <f t="shared" si="26"/>
        <v>8185896</v>
      </c>
      <c r="L54" s="20">
        <f t="shared" si="26"/>
        <v>7218900</v>
      </c>
      <c r="M54" s="20">
        <f t="shared" si="26"/>
        <v>7602266</v>
      </c>
      <c r="N54" s="20">
        <f t="shared" si="26"/>
        <v>8255304</v>
      </c>
      <c r="P54" s="28">
        <f>IF(D54=0,"",+J54/D54)</f>
        <v>0.9530998492263274</v>
      </c>
      <c r="Q54" s="28">
        <f>IF(E54=0,"",+K54/E54)</f>
        <v>0.96195719999915386</v>
      </c>
      <c r="R54" s="28">
        <f>IF(F54=0,"",+L54/F54)</f>
        <v>0.84832165361908973</v>
      </c>
      <c r="S54" s="28">
        <f>IF(G54=0,"",+M54/G54)</f>
        <v>0.89337251719405764</v>
      </c>
      <c r="T54" s="28">
        <f>IF(H54=0,"",+N54/H54)</f>
        <v>0.97011361016336084</v>
      </c>
      <c r="V54" s="28">
        <f>IF(SUM(D54:F54)=0,"",SUM(J54:L54)/SUM(D54:F54))</f>
        <v>0.92140351920877939</v>
      </c>
      <c r="W54" s="28">
        <f>IF(SUM(D54:H54)=0,"",SUM(J54:N54)/SUM(D54:H54))</f>
        <v>0.92551774184192581</v>
      </c>
      <c r="Y54" s="1"/>
    </row>
    <row r="55" spans="1:25" x14ac:dyDescent="0.25">
      <c r="A55" s="1"/>
      <c r="B55" s="11"/>
      <c r="C55" s="1"/>
      <c r="D55" s="1"/>
      <c r="E55" s="1"/>
      <c r="F55" s="1"/>
      <c r="G55" s="1"/>
      <c r="H55" s="1"/>
      <c r="I55" s="1"/>
      <c r="J55" s="22"/>
      <c r="K55" s="1"/>
      <c r="L55" s="1"/>
      <c r="M55" s="1"/>
      <c r="N55" s="1"/>
      <c r="Y55" s="1"/>
    </row>
    <row r="56" spans="1:25" ht="15.75" thickBot="1" x14ac:dyDescent="0.3">
      <c r="A56" s="6" t="s">
        <v>26</v>
      </c>
      <c r="B56" s="6"/>
      <c r="C56" s="7"/>
      <c r="D56" s="2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x14ac:dyDescent="0.25">
      <c r="A57" s="8"/>
      <c r="B57" s="9">
        <v>100</v>
      </c>
      <c r="C57" s="25" t="s">
        <v>10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"/>
      <c r="J57" s="18">
        <v>0</v>
      </c>
      <c r="K57" s="18">
        <v>0</v>
      </c>
      <c r="L57" s="18">
        <v>0</v>
      </c>
      <c r="M57" s="18">
        <v>0</v>
      </c>
      <c r="N57" s="18">
        <v>0</v>
      </c>
      <c r="P57" s="28" t="str">
        <f t="shared" ref="P57:P65" si="27">IF(D57=0,"",+J57/D57)</f>
        <v/>
      </c>
      <c r="Q57" s="28" t="str">
        <f t="shared" ref="Q57:Q65" si="28">IF(E57=0,"",+K57/E57)</f>
        <v/>
      </c>
      <c r="R57" s="28" t="str">
        <f t="shared" ref="R57:R65" si="29">IF(F57=0,"",+L57/F57)</f>
        <v/>
      </c>
      <c r="S57" s="28" t="str">
        <f t="shared" ref="S57:S65" si="30">IF(G57=0,"",+M57/G57)</f>
        <v/>
      </c>
      <c r="T57" s="28" t="str">
        <f t="shared" ref="T57:T65" si="31">IF(H57=0,"",+N57/H57)</f>
        <v/>
      </c>
      <c r="V57" s="28" t="str">
        <f t="shared" ref="V57:V65" si="32">IF(SUM(D57:F57)=0,"",SUM(J57:L57)/SUM(D57:F57))</f>
        <v/>
      </c>
      <c r="W57" s="28" t="str">
        <f t="shared" ref="W57:W65" si="33">IF(SUM(D57:H57)=0,"",SUM(J57:N57)/SUM(D57:H57))</f>
        <v/>
      </c>
      <c r="Y57" s="30">
        <v>1.018E-7</v>
      </c>
    </row>
    <row r="58" spans="1:25" x14ac:dyDescent="0.25">
      <c r="A58" s="8"/>
      <c r="B58" s="9" t="s">
        <v>27</v>
      </c>
      <c r="C58" s="25" t="s">
        <v>38</v>
      </c>
      <c r="D58" s="19">
        <v>53120209</v>
      </c>
      <c r="E58" s="19">
        <v>43330000</v>
      </c>
      <c r="F58" s="19">
        <v>43130000</v>
      </c>
      <c r="G58" s="19">
        <v>43130000</v>
      </c>
      <c r="H58" s="19">
        <f>80780000-8800000-31500000</f>
        <v>40480000</v>
      </c>
      <c r="I58" s="1"/>
      <c r="J58" s="19">
        <v>48293131</v>
      </c>
      <c r="K58" s="19">
        <v>41044343.580000021</v>
      </c>
      <c r="L58" s="19">
        <v>40369391.12000002</v>
      </c>
      <c r="M58" s="19">
        <v>38395202.490000002</v>
      </c>
      <c r="N58" s="19">
        <v>42279349.369999975</v>
      </c>
      <c r="P58" s="28">
        <f t="shared" si="27"/>
        <v>0.9091291602410676</v>
      </c>
      <c r="Q58" s="28">
        <f t="shared" si="28"/>
        <v>0.94725002492499466</v>
      </c>
      <c r="R58" s="28">
        <f t="shared" si="29"/>
        <v>0.93599330210990073</v>
      </c>
      <c r="S58" s="28">
        <f t="shared" si="30"/>
        <v>0.89022032204961743</v>
      </c>
      <c r="T58" s="28">
        <f t="shared" si="31"/>
        <v>1.0444503302865606</v>
      </c>
      <c r="V58" s="28">
        <f t="shared" si="32"/>
        <v>0.92926401693523786</v>
      </c>
      <c r="W58" s="28">
        <f t="shared" si="33"/>
        <v>0.9426104240979496</v>
      </c>
      <c r="Y58" s="30">
        <v>0.92926401693523786</v>
      </c>
    </row>
    <row r="59" spans="1:25" x14ac:dyDescent="0.25">
      <c r="A59" s="8"/>
      <c r="B59" s="9">
        <v>191</v>
      </c>
      <c r="C59" s="25" t="s">
        <v>28</v>
      </c>
      <c r="D59" s="19">
        <v>42000000</v>
      </c>
      <c r="E59" s="19">
        <v>48800000</v>
      </c>
      <c r="F59" s="19">
        <v>46638000</v>
      </c>
      <c r="G59" s="19">
        <v>43106000</v>
      </c>
      <c r="H59" s="19">
        <v>31500000</v>
      </c>
      <c r="I59" s="1"/>
      <c r="J59" s="19">
        <v>40861335</v>
      </c>
      <c r="K59" s="19">
        <v>38305051.789999999</v>
      </c>
      <c r="L59" s="19">
        <v>35507146.670000002</v>
      </c>
      <c r="M59" s="19">
        <v>38770167.119999997</v>
      </c>
      <c r="N59" s="19">
        <v>32719111.77</v>
      </c>
      <c r="P59" s="28">
        <f t="shared" si="27"/>
        <v>0.97288892857142861</v>
      </c>
      <c r="Q59" s="28">
        <f t="shared" si="28"/>
        <v>0.78493958586065571</v>
      </c>
      <c r="R59" s="28">
        <f t="shared" si="29"/>
        <v>0.76133510592220943</v>
      </c>
      <c r="S59" s="28">
        <f t="shared" si="30"/>
        <v>0.89941463183779513</v>
      </c>
      <c r="T59" s="28">
        <f t="shared" si="31"/>
        <v>1.0387019609523809</v>
      </c>
      <c r="V59" s="28">
        <f t="shared" si="32"/>
        <v>0.8343655572694596</v>
      </c>
      <c r="W59" s="28">
        <f t="shared" si="33"/>
        <v>0.87794425850295221</v>
      </c>
      <c r="Y59" s="29">
        <v>1</v>
      </c>
    </row>
    <row r="60" spans="1:25" x14ac:dyDescent="0.25">
      <c r="A60" s="8"/>
      <c r="B60" s="9">
        <v>190</v>
      </c>
      <c r="C60" s="25" t="s">
        <v>29</v>
      </c>
      <c r="D60" s="19">
        <v>11700000</v>
      </c>
      <c r="E60" s="19">
        <v>10400000</v>
      </c>
      <c r="F60" s="19">
        <v>9430000</v>
      </c>
      <c r="G60" s="19">
        <v>9566000</v>
      </c>
      <c r="H60" s="19">
        <v>8800000</v>
      </c>
      <c r="I60" s="1"/>
      <c r="J60" s="19">
        <v>11415451</v>
      </c>
      <c r="K60" s="19">
        <v>22450402.66</v>
      </c>
      <c r="L60" s="19">
        <v>20452251.629999999</v>
      </c>
      <c r="M60" s="19">
        <v>9843047.5299999993</v>
      </c>
      <c r="N60" s="19">
        <v>9449462.1199999992</v>
      </c>
      <c r="P60" s="28">
        <f t="shared" si="27"/>
        <v>0.97567957264957261</v>
      </c>
      <c r="Q60" s="28">
        <f t="shared" si="28"/>
        <v>2.1586925634615386</v>
      </c>
      <c r="R60" s="28">
        <f t="shared" si="29"/>
        <v>2.168849589607635</v>
      </c>
      <c r="S60" s="28">
        <f t="shared" si="30"/>
        <v>1.0289616903616976</v>
      </c>
      <c r="T60" s="28">
        <f t="shared" si="31"/>
        <v>1.0738025136363636</v>
      </c>
      <c r="V60" s="28">
        <f t="shared" si="32"/>
        <v>1.7227435867427845</v>
      </c>
      <c r="W60" s="28">
        <f t="shared" si="33"/>
        <v>1.4752808830367163</v>
      </c>
      <c r="Y60" s="29">
        <v>1</v>
      </c>
    </row>
    <row r="61" spans="1:25" x14ac:dyDescent="0.25">
      <c r="A61" s="8"/>
      <c r="B61" s="9">
        <v>200</v>
      </c>
      <c r="C61" s="25" t="s">
        <v>11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"/>
      <c r="J61" s="19"/>
      <c r="K61" s="19"/>
      <c r="L61" s="19">
        <v>0</v>
      </c>
      <c r="M61" s="19">
        <v>0</v>
      </c>
      <c r="N61" s="19">
        <v>0</v>
      </c>
      <c r="P61" s="28" t="str">
        <f t="shared" si="27"/>
        <v/>
      </c>
      <c r="Q61" s="28" t="str">
        <f t="shared" si="28"/>
        <v/>
      </c>
      <c r="R61" s="28" t="str">
        <f t="shared" si="29"/>
        <v/>
      </c>
      <c r="S61" s="28" t="str">
        <f t="shared" si="30"/>
        <v/>
      </c>
      <c r="T61" s="28" t="str">
        <f t="shared" si="31"/>
        <v/>
      </c>
      <c r="V61" s="28" t="str">
        <f t="shared" si="32"/>
        <v/>
      </c>
      <c r="W61" s="28" t="str">
        <f t="shared" si="33"/>
        <v/>
      </c>
      <c r="Y61" s="30">
        <v>1.018E-7</v>
      </c>
    </row>
    <row r="62" spans="1:25" x14ac:dyDescent="0.25">
      <c r="A62" s="8"/>
      <c r="B62" s="9">
        <v>300</v>
      </c>
      <c r="C62" s="25" t="s">
        <v>13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"/>
      <c r="J62" s="19"/>
      <c r="K62" s="19"/>
      <c r="L62" s="19">
        <v>0</v>
      </c>
      <c r="M62" s="19">
        <v>0</v>
      </c>
      <c r="N62" s="19">
        <v>0</v>
      </c>
      <c r="P62" s="28" t="str">
        <f t="shared" si="27"/>
        <v/>
      </c>
      <c r="Q62" s="28" t="str">
        <f t="shared" si="28"/>
        <v/>
      </c>
      <c r="R62" s="28" t="str">
        <f t="shared" si="29"/>
        <v/>
      </c>
      <c r="S62" s="28" t="str">
        <f t="shared" si="30"/>
        <v/>
      </c>
      <c r="T62" s="28" t="str">
        <f t="shared" si="31"/>
        <v/>
      </c>
      <c r="V62" s="28" t="str">
        <f t="shared" si="32"/>
        <v/>
      </c>
      <c r="W62" s="28" t="str">
        <f t="shared" si="33"/>
        <v/>
      </c>
      <c r="Y62" s="30">
        <v>1.018E-7</v>
      </c>
    </row>
    <row r="63" spans="1:25" x14ac:dyDescent="0.25">
      <c r="A63" s="8"/>
      <c r="B63" s="9">
        <v>400</v>
      </c>
      <c r="C63" s="25" t="s">
        <v>15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"/>
      <c r="J63" s="19"/>
      <c r="K63" s="19"/>
      <c r="L63" s="19">
        <v>0</v>
      </c>
      <c r="M63" s="19">
        <v>0</v>
      </c>
      <c r="N63" s="19">
        <v>0</v>
      </c>
      <c r="P63" s="28" t="str">
        <f t="shared" si="27"/>
        <v/>
      </c>
      <c r="Q63" s="28" t="str">
        <f t="shared" si="28"/>
        <v/>
      </c>
      <c r="R63" s="28" t="str">
        <f t="shared" si="29"/>
        <v/>
      </c>
      <c r="S63" s="28" t="str">
        <f t="shared" si="30"/>
        <v/>
      </c>
      <c r="T63" s="28" t="str">
        <f t="shared" si="31"/>
        <v/>
      </c>
      <c r="V63" s="28" t="str">
        <f t="shared" si="32"/>
        <v/>
      </c>
      <c r="W63" s="28" t="str">
        <f t="shared" si="33"/>
        <v/>
      </c>
      <c r="Y63" s="30">
        <v>1.018E-7</v>
      </c>
    </row>
    <row r="64" spans="1:25" x14ac:dyDescent="0.25">
      <c r="A64" s="8"/>
      <c r="B64" s="9">
        <v>500</v>
      </c>
      <c r="C64" s="25" t="s">
        <v>16</v>
      </c>
      <c r="D64" s="19">
        <v>6500000</v>
      </c>
      <c r="E64" s="19">
        <v>6500000</v>
      </c>
      <c r="F64" s="19">
        <v>6500000</v>
      </c>
      <c r="G64" s="19">
        <v>6500000</v>
      </c>
      <c r="H64" s="19">
        <v>6500000</v>
      </c>
      <c r="I64" s="1"/>
      <c r="J64" s="19">
        <v>3840767</v>
      </c>
      <c r="K64" s="19">
        <v>6036098</v>
      </c>
      <c r="L64" s="19">
        <v>5090210</v>
      </c>
      <c r="M64" s="19">
        <v>3046915</v>
      </c>
      <c r="N64" s="19">
        <v>5383670</v>
      </c>
      <c r="P64" s="28">
        <f t="shared" si="27"/>
        <v>0.59088723076923078</v>
      </c>
      <c r="Q64" s="28">
        <f t="shared" si="28"/>
        <v>0.92863046153846152</v>
      </c>
      <c r="R64" s="28">
        <f t="shared" si="29"/>
        <v>0.78310923076923078</v>
      </c>
      <c r="S64" s="28">
        <f t="shared" si="30"/>
        <v>0.46875615384615382</v>
      </c>
      <c r="T64" s="28">
        <f t="shared" si="31"/>
        <v>0.82825692307692311</v>
      </c>
      <c r="V64" s="28">
        <f t="shared" si="32"/>
        <v>0.76754230769230769</v>
      </c>
      <c r="W64" s="28">
        <f t="shared" si="33"/>
        <v>0.71992800000000001</v>
      </c>
      <c r="Y64" s="29">
        <v>1</v>
      </c>
    </row>
    <row r="65" spans="1:25" x14ac:dyDescent="0.25">
      <c r="A65" s="8"/>
      <c r="B65" s="9">
        <v>800</v>
      </c>
      <c r="C65" s="25" t="s">
        <v>17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"/>
      <c r="J65" s="19"/>
      <c r="K65" s="19"/>
      <c r="L65" s="19">
        <v>0</v>
      </c>
      <c r="M65" s="19">
        <v>0</v>
      </c>
      <c r="N65" s="19">
        <v>0</v>
      </c>
      <c r="P65" s="28" t="str">
        <f t="shared" si="27"/>
        <v/>
      </c>
      <c r="Q65" s="28" t="str">
        <f t="shared" si="28"/>
        <v/>
      </c>
      <c r="R65" s="28" t="str">
        <f t="shared" si="29"/>
        <v/>
      </c>
      <c r="S65" s="28" t="str">
        <f t="shared" si="30"/>
        <v/>
      </c>
      <c r="T65" s="28" t="str">
        <f t="shared" si="31"/>
        <v/>
      </c>
      <c r="V65" s="28" t="str">
        <f t="shared" si="32"/>
        <v/>
      </c>
      <c r="W65" s="28" t="str">
        <f t="shared" si="33"/>
        <v/>
      </c>
      <c r="Y65" s="30">
        <v>1.018E-7</v>
      </c>
    </row>
    <row r="66" spans="1:25" ht="3" customHeight="1" x14ac:dyDescent="0.25">
      <c r="A66" s="8"/>
      <c r="B66" s="9"/>
      <c r="C66" s="8"/>
      <c r="D66" s="8"/>
      <c r="E66" s="8"/>
      <c r="F66" s="8"/>
      <c r="G66" s="8"/>
      <c r="H66" s="8"/>
      <c r="I66" s="1"/>
      <c r="J66" s="1"/>
      <c r="K66" s="1"/>
      <c r="L66" s="1"/>
      <c r="M66" s="1"/>
      <c r="N66" s="1"/>
      <c r="Y66" s="1"/>
    </row>
    <row r="67" spans="1:25" x14ac:dyDescent="0.25">
      <c r="A67" s="10" t="s">
        <v>39</v>
      </c>
      <c r="B67" s="9"/>
      <c r="C67" s="8"/>
      <c r="D67" s="20">
        <f t="shared" ref="D67:H67" si="34">SUM(D57:D66)</f>
        <v>113320209</v>
      </c>
      <c r="E67" s="20">
        <f t="shared" si="34"/>
        <v>109030000</v>
      </c>
      <c r="F67" s="20">
        <f t="shared" si="34"/>
        <v>105698000</v>
      </c>
      <c r="G67" s="20">
        <f t="shared" si="34"/>
        <v>102302000</v>
      </c>
      <c r="H67" s="20">
        <f t="shared" si="34"/>
        <v>87280000</v>
      </c>
      <c r="I67" s="8"/>
      <c r="J67" s="20">
        <f t="shared" ref="J67:N67" si="35">SUM(J57:J66)</f>
        <v>104410684</v>
      </c>
      <c r="K67" s="20">
        <f t="shared" si="35"/>
        <v>107835896.03000002</v>
      </c>
      <c r="L67" s="20">
        <f t="shared" si="35"/>
        <v>101418999.42000002</v>
      </c>
      <c r="M67" s="20">
        <f t="shared" si="35"/>
        <v>90055332.140000001</v>
      </c>
      <c r="N67" s="20">
        <f t="shared" si="35"/>
        <v>89831593.259999976</v>
      </c>
      <c r="P67" s="28">
        <f>IF(D67=0,"",+J67/D67)</f>
        <v>0.92137743939388606</v>
      </c>
      <c r="Q67" s="28">
        <f>IF(E67=0,"",+K67/E67)</f>
        <v>0.98904793203705421</v>
      </c>
      <c r="R67" s="28">
        <f>IF(F67=0,"",+L67/F67)</f>
        <v>0.95951673087475653</v>
      </c>
      <c r="S67" s="28">
        <f>IF(G67=0,"",+M67/G67)</f>
        <v>0.88028906707591248</v>
      </c>
      <c r="T67" s="28">
        <f>IF(H67=0,"",+N67/H67)</f>
        <v>1.0292345698900089</v>
      </c>
      <c r="V67" s="28">
        <f>IF(SUM(D67:F67)=0,"",SUM(J67:L67)/SUM(D67:F67))</f>
        <v>0.95615696365530245</v>
      </c>
      <c r="W67" s="28">
        <f>IF(SUM(D67:H67)=0,"",SUM(J67:N67)/SUM(D67:H67))</f>
        <v>0.95348473923785237</v>
      </c>
      <c r="Y67" s="1"/>
    </row>
    <row r="68" spans="1:25" x14ac:dyDescent="0.25">
      <c r="A68" s="1"/>
      <c r="B68" s="1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Y68" s="1"/>
    </row>
    <row r="69" spans="1:25" ht="15.75" thickBot="1" x14ac:dyDescent="0.3">
      <c r="A69" s="6" t="s">
        <v>30</v>
      </c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x14ac:dyDescent="0.25">
      <c r="A70" s="8"/>
      <c r="B70" s="9">
        <v>100</v>
      </c>
      <c r="C70" s="25" t="s">
        <v>10</v>
      </c>
      <c r="D70" s="18">
        <v>11404254</v>
      </c>
      <c r="E70" s="18">
        <f>11188570+490089*0</f>
        <v>11188570</v>
      </c>
      <c r="F70" s="18">
        <v>10874716</v>
      </c>
      <c r="G70" s="18">
        <v>11092316</v>
      </c>
      <c r="H70" s="18">
        <v>10649066</v>
      </c>
      <c r="I70" s="1"/>
      <c r="J70" s="18">
        <v>10013594</v>
      </c>
      <c r="K70" s="18">
        <v>9701251</v>
      </c>
      <c r="L70" s="18">
        <v>10020393</v>
      </c>
      <c r="M70" s="18">
        <v>9729716</v>
      </c>
      <c r="N70" s="18">
        <v>9557122</v>
      </c>
      <c r="P70" s="28">
        <f t="shared" ref="P70:T75" si="36">IF(D70=0,"",+J70/D70)</f>
        <v>0.87805778440220639</v>
      </c>
      <c r="Q70" s="28">
        <f t="shared" si="36"/>
        <v>0.86706799885955044</v>
      </c>
      <c r="R70" s="28">
        <f t="shared" si="36"/>
        <v>0.92143951161575166</v>
      </c>
      <c r="S70" s="28">
        <f t="shared" si="36"/>
        <v>0.87715820573449221</v>
      </c>
      <c r="T70" s="28">
        <f t="shared" si="36"/>
        <v>0.89746105433096202</v>
      </c>
      <c r="V70" s="28">
        <f t="shared" ref="V70:V75" si="37">IF(SUM(D70:F70)=0,"",SUM(J70:L70)/SUM(D70:F70))</f>
        <v>0.88847994205728897</v>
      </c>
      <c r="W70" s="28">
        <f t="shared" ref="W70:W75" si="38">IF(SUM(D70:H70)=0,"",SUM(J70:N70)/SUM(D70:H70))</f>
        <v>0.88793756922114875</v>
      </c>
      <c r="Y70" s="30">
        <v>0.88847994205728897</v>
      </c>
    </row>
    <row r="71" spans="1:25" x14ac:dyDescent="0.25">
      <c r="A71" s="8"/>
      <c r="B71" s="9">
        <v>200</v>
      </c>
      <c r="C71" s="25" t="s">
        <v>11</v>
      </c>
      <c r="D71" s="19">
        <v>4244480</v>
      </c>
      <c r="E71" s="19">
        <v>4100780</v>
      </c>
      <c r="F71" s="19">
        <v>4022815</v>
      </c>
      <c r="G71" s="19">
        <v>3852510</v>
      </c>
      <c r="H71" s="19">
        <v>3578000</v>
      </c>
      <c r="I71" s="1"/>
      <c r="J71" s="19">
        <f>4136783+104334</f>
        <v>4241117</v>
      </c>
      <c r="K71" s="19">
        <v>4133603</v>
      </c>
      <c r="L71" s="19">
        <v>4020068</v>
      </c>
      <c r="M71" s="19">
        <v>3677818</v>
      </c>
      <c r="N71" s="19">
        <v>3371322</v>
      </c>
      <c r="P71" s="28">
        <f t="shared" si="36"/>
        <v>0.99920767679433053</v>
      </c>
      <c r="Q71" s="28">
        <f t="shared" si="36"/>
        <v>1.0080040870273461</v>
      </c>
      <c r="R71" s="28">
        <f t="shared" si="36"/>
        <v>0.99931714483514655</v>
      </c>
      <c r="S71" s="28">
        <f t="shared" si="36"/>
        <v>0.95465501711870959</v>
      </c>
      <c r="T71" s="28">
        <f t="shared" si="36"/>
        <v>0.94223644494130798</v>
      </c>
      <c r="V71" s="28">
        <f t="shared" si="37"/>
        <v>1.0021598348975083</v>
      </c>
      <c r="W71" s="28">
        <f t="shared" si="38"/>
        <v>0.98208675013896196</v>
      </c>
      <c r="Y71" s="30">
        <v>1.0021598348975083</v>
      </c>
    </row>
    <row r="72" spans="1:25" x14ac:dyDescent="0.25">
      <c r="A72" s="8"/>
      <c r="B72" s="9">
        <v>300</v>
      </c>
      <c r="C72" s="25" t="s">
        <v>13</v>
      </c>
      <c r="D72" s="19">
        <v>640920</v>
      </c>
      <c r="E72" s="19">
        <v>788120</v>
      </c>
      <c r="F72" s="19">
        <v>808425</v>
      </c>
      <c r="G72" s="19">
        <v>902800</v>
      </c>
      <c r="H72" s="19">
        <v>913980</v>
      </c>
      <c r="I72" s="1"/>
      <c r="J72" s="19">
        <f>300064+72845+145179+112696</f>
        <v>630784</v>
      </c>
      <c r="K72" s="19">
        <v>688157</v>
      </c>
      <c r="L72" s="19">
        <v>561421</v>
      </c>
      <c r="M72" s="19">
        <v>525300</v>
      </c>
      <c r="N72" s="19">
        <v>650423</v>
      </c>
      <c r="P72" s="28">
        <f t="shared" si="36"/>
        <v>0.98418523372651812</v>
      </c>
      <c r="Q72" s="28">
        <f t="shared" si="36"/>
        <v>0.87316271633761355</v>
      </c>
      <c r="R72" s="28">
        <f t="shared" si="36"/>
        <v>0.69446268979806414</v>
      </c>
      <c r="S72" s="28">
        <f t="shared" si="36"/>
        <v>0.58185644661054492</v>
      </c>
      <c r="T72" s="28">
        <f t="shared" si="36"/>
        <v>0.71163811024311252</v>
      </c>
      <c r="V72" s="28">
        <f t="shared" si="37"/>
        <v>0.84039839729336552</v>
      </c>
      <c r="W72" s="28">
        <f t="shared" si="38"/>
        <v>0.75379879607670475</v>
      </c>
      <c r="Y72" s="30">
        <v>0.84039839729336552</v>
      </c>
    </row>
    <row r="73" spans="1:25" x14ac:dyDescent="0.25">
      <c r="A73" s="8"/>
      <c r="B73" s="9">
        <v>400</v>
      </c>
      <c r="C73" s="25" t="s">
        <v>15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"/>
      <c r="J73" s="19">
        <v>0</v>
      </c>
      <c r="K73" s="19">
        <v>0</v>
      </c>
      <c r="L73" s="19">
        <v>0</v>
      </c>
      <c r="M73" s="19">
        <v>0</v>
      </c>
      <c r="N73" s="19"/>
      <c r="P73" s="28" t="str">
        <f t="shared" si="36"/>
        <v/>
      </c>
      <c r="Q73" s="28" t="str">
        <f t="shared" si="36"/>
        <v/>
      </c>
      <c r="R73" s="28" t="str">
        <f t="shared" si="36"/>
        <v/>
      </c>
      <c r="S73" s="28" t="str">
        <f t="shared" si="36"/>
        <v/>
      </c>
      <c r="T73" s="28" t="str">
        <f t="shared" si="36"/>
        <v/>
      </c>
      <c r="V73" s="28" t="str">
        <f t="shared" si="37"/>
        <v/>
      </c>
      <c r="W73" s="28" t="str">
        <f t="shared" si="38"/>
        <v/>
      </c>
      <c r="Y73" s="30">
        <v>0.95</v>
      </c>
    </row>
    <row r="74" spans="1:25" x14ac:dyDescent="0.25">
      <c r="A74" s="8"/>
      <c r="B74" s="9">
        <v>500</v>
      </c>
      <c r="C74" s="25" t="s">
        <v>16</v>
      </c>
      <c r="D74" s="19">
        <v>5000</v>
      </c>
      <c r="E74" s="19">
        <v>1500</v>
      </c>
      <c r="F74" s="19">
        <v>1500</v>
      </c>
      <c r="G74" s="19">
        <v>3000</v>
      </c>
      <c r="H74" s="19">
        <v>3000</v>
      </c>
      <c r="I74" s="1"/>
      <c r="J74" s="19">
        <v>1273</v>
      </c>
      <c r="K74" s="19">
        <v>481</v>
      </c>
      <c r="L74" s="19">
        <v>170</v>
      </c>
      <c r="M74" s="19">
        <v>315</v>
      </c>
      <c r="N74" s="19">
        <v>170</v>
      </c>
      <c r="P74" s="28">
        <f t="shared" si="36"/>
        <v>0.25459999999999999</v>
      </c>
      <c r="Q74" s="28">
        <f t="shared" si="36"/>
        <v>0.32066666666666666</v>
      </c>
      <c r="R74" s="28">
        <f t="shared" si="36"/>
        <v>0.11333333333333333</v>
      </c>
      <c r="S74" s="28">
        <f t="shared" si="36"/>
        <v>0.105</v>
      </c>
      <c r="T74" s="28">
        <f t="shared" si="36"/>
        <v>5.6666666666666664E-2</v>
      </c>
      <c r="V74" s="28">
        <f t="shared" si="37"/>
        <v>0.24049999999999999</v>
      </c>
      <c r="W74" s="28">
        <f t="shared" si="38"/>
        <v>0.17207142857142857</v>
      </c>
      <c r="Y74" s="29">
        <v>1</v>
      </c>
    </row>
    <row r="75" spans="1:25" x14ac:dyDescent="0.25">
      <c r="A75" s="8"/>
      <c r="B75" s="9">
        <v>800</v>
      </c>
      <c r="C75" s="25" t="s">
        <v>17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"/>
      <c r="J75" s="19">
        <v>0</v>
      </c>
      <c r="K75" s="19">
        <v>0</v>
      </c>
      <c r="L75" s="19">
        <v>0</v>
      </c>
      <c r="M75" s="19">
        <v>0</v>
      </c>
      <c r="N75" s="19">
        <v>0</v>
      </c>
      <c r="P75" s="28" t="str">
        <f t="shared" si="36"/>
        <v/>
      </c>
      <c r="Q75" s="28" t="str">
        <f t="shared" si="36"/>
        <v/>
      </c>
      <c r="R75" s="28" t="str">
        <f t="shared" si="36"/>
        <v/>
      </c>
      <c r="S75" s="28" t="str">
        <f t="shared" si="36"/>
        <v/>
      </c>
      <c r="T75" s="28" t="str">
        <f t="shared" si="36"/>
        <v/>
      </c>
      <c r="V75" s="28" t="str">
        <f t="shared" si="37"/>
        <v/>
      </c>
      <c r="W75" s="28" t="str">
        <f t="shared" si="38"/>
        <v/>
      </c>
      <c r="Y75" s="30">
        <v>1.018E-7</v>
      </c>
    </row>
    <row r="76" spans="1:25" ht="3" customHeight="1" x14ac:dyDescent="0.25">
      <c r="A76" s="8"/>
      <c r="B76" s="9"/>
      <c r="C76" s="8"/>
      <c r="D76" s="8"/>
      <c r="E76" s="8"/>
      <c r="F76" s="8"/>
      <c r="G76" s="8"/>
      <c r="H76" s="8"/>
      <c r="I76" s="1"/>
      <c r="J76" s="1"/>
      <c r="K76" s="1"/>
      <c r="L76" s="1"/>
      <c r="M76" s="1"/>
      <c r="N76" s="1"/>
      <c r="Y76" s="1"/>
    </row>
    <row r="77" spans="1:25" x14ac:dyDescent="0.25">
      <c r="A77" s="10" t="s">
        <v>40</v>
      </c>
      <c r="B77" s="9"/>
      <c r="C77" s="8"/>
      <c r="D77" s="20">
        <f t="shared" ref="D77:H77" si="39">SUM(D70:D76)</f>
        <v>16294654</v>
      </c>
      <c r="E77" s="20">
        <f t="shared" si="39"/>
        <v>16078970</v>
      </c>
      <c r="F77" s="20">
        <f t="shared" si="39"/>
        <v>15707456</v>
      </c>
      <c r="G77" s="20">
        <f t="shared" si="39"/>
        <v>15850626</v>
      </c>
      <c r="H77" s="20">
        <f t="shared" si="39"/>
        <v>15144046</v>
      </c>
      <c r="I77" s="8"/>
      <c r="J77" s="20">
        <f t="shared" ref="J77:N77" si="40">SUM(J70:J76)</f>
        <v>14886768</v>
      </c>
      <c r="K77" s="20">
        <f t="shared" si="40"/>
        <v>14523492</v>
      </c>
      <c r="L77" s="20">
        <f t="shared" si="40"/>
        <v>14602052</v>
      </c>
      <c r="M77" s="20">
        <f t="shared" si="40"/>
        <v>13933149</v>
      </c>
      <c r="N77" s="20">
        <f t="shared" si="40"/>
        <v>13579037</v>
      </c>
      <c r="P77" s="28">
        <f>IF(D77=0,"",+J77/D77)</f>
        <v>0.91359828812566379</v>
      </c>
      <c r="Q77" s="28">
        <f>IF(E77=0,"",+K77/E77)</f>
        <v>0.9032600968843153</v>
      </c>
      <c r="R77" s="28">
        <f>IF(F77=0,"",+L77/F77)</f>
        <v>0.92962552306369661</v>
      </c>
      <c r="S77" s="28">
        <f>IF(G77=0,"",+M77/G77)</f>
        <v>0.87902831093232536</v>
      </c>
      <c r="T77" s="28">
        <f>IF(H77=0,"",+N77/H77)</f>
        <v>0.89665846234223012</v>
      </c>
      <c r="V77" s="28">
        <f>IF(SUM(D77:F77)=0,"",SUM(J77:L77)/SUM(D77:F77))</f>
        <v>0.91537694244804813</v>
      </c>
      <c r="W77" s="28">
        <f>IF(SUM(D77:H77)=0,"",SUM(J77:N77)/SUM(D77:H77))</f>
        <v>0.90450607412497319</v>
      </c>
      <c r="Y77" s="1"/>
    </row>
    <row r="78" spans="1:25" x14ac:dyDescent="0.25">
      <c r="A78" s="1"/>
      <c r="B78" s="11"/>
      <c r="C78" s="1"/>
      <c r="D78" s="1"/>
      <c r="E78" s="1"/>
      <c r="F78" s="1"/>
      <c r="G78" s="1"/>
      <c r="H78" s="1"/>
      <c r="I78" s="1"/>
      <c r="J78" s="22" t="s">
        <v>44</v>
      </c>
      <c r="K78" s="1"/>
      <c r="L78" s="1"/>
      <c r="M78" s="1"/>
      <c r="N78" s="1"/>
      <c r="Y78" s="1"/>
    </row>
    <row r="79" spans="1:25" ht="15.75" thickBot="1" x14ac:dyDescent="0.3">
      <c r="A79" s="6" t="s">
        <v>31</v>
      </c>
      <c r="B79" s="6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x14ac:dyDescent="0.25">
      <c r="A80" s="8"/>
      <c r="B80" s="9">
        <v>100</v>
      </c>
      <c r="C80" s="25" t="s">
        <v>10</v>
      </c>
      <c r="D80" s="18">
        <v>77383</v>
      </c>
      <c r="E80" s="18">
        <f>69028+3024*0</f>
        <v>69028</v>
      </c>
      <c r="F80" s="18">
        <v>69028</v>
      </c>
      <c r="G80" s="18">
        <v>69028</v>
      </c>
      <c r="H80" s="18">
        <v>69228</v>
      </c>
      <c r="I80" s="1"/>
      <c r="J80" s="18">
        <v>60866</v>
      </c>
      <c r="K80" s="18">
        <v>62746</v>
      </c>
      <c r="L80" s="18">
        <v>68882</v>
      </c>
      <c r="M80" s="18">
        <v>45856</v>
      </c>
      <c r="N80" s="18">
        <v>69074</v>
      </c>
      <c r="P80" s="28">
        <f t="shared" ref="P80:T85" si="41">IF(D80=0,"",+J80/D80)</f>
        <v>0.78655518653967926</v>
      </c>
      <c r="Q80" s="28">
        <f t="shared" si="41"/>
        <v>0.9089934519325491</v>
      </c>
      <c r="R80" s="28">
        <f t="shared" si="41"/>
        <v>0.99788491626586318</v>
      </c>
      <c r="S80" s="28">
        <f t="shared" si="41"/>
        <v>0.664310135017674</v>
      </c>
      <c r="T80" s="28">
        <f t="shared" si="41"/>
        <v>0.99777546657421856</v>
      </c>
      <c r="V80" s="28">
        <f t="shared" ref="V80:V85" si="42">IF(SUM(D80:F80)=0,"",SUM(J80:L80)/SUM(D80:F80))</f>
        <v>0.89349653498205994</v>
      </c>
      <c r="W80" s="28">
        <f t="shared" ref="W80:W85" si="43">IF(SUM(D80:H80)=0,"",SUM(J80:N80)/SUM(D80:H80))</f>
        <v>0.86917824679455458</v>
      </c>
      <c r="Y80" s="30">
        <v>0.89349653498205994</v>
      </c>
    </row>
    <row r="81" spans="1:25" x14ac:dyDescent="0.25">
      <c r="A81" s="8"/>
      <c r="B81" s="9">
        <v>200</v>
      </c>
      <c r="C81" s="25" t="s">
        <v>11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"/>
      <c r="J81" s="19">
        <v>0</v>
      </c>
      <c r="K81" s="19">
        <v>0</v>
      </c>
      <c r="L81" s="19">
        <v>0</v>
      </c>
      <c r="M81" s="19">
        <v>0</v>
      </c>
      <c r="N81" s="19">
        <v>0</v>
      </c>
      <c r="P81" s="28" t="str">
        <f t="shared" si="41"/>
        <v/>
      </c>
      <c r="Q81" s="28" t="str">
        <f t="shared" si="41"/>
        <v/>
      </c>
      <c r="R81" s="28" t="str">
        <f t="shared" si="41"/>
        <v/>
      </c>
      <c r="S81" s="28" t="str">
        <f t="shared" si="41"/>
        <v/>
      </c>
      <c r="T81" s="28" t="str">
        <f t="shared" si="41"/>
        <v/>
      </c>
      <c r="V81" s="28" t="str">
        <f t="shared" si="42"/>
        <v/>
      </c>
      <c r="W81" s="28" t="str">
        <f t="shared" si="43"/>
        <v/>
      </c>
      <c r="Y81" s="30">
        <v>1.018E-7</v>
      </c>
    </row>
    <row r="82" spans="1:25" x14ac:dyDescent="0.25">
      <c r="A82" s="8"/>
      <c r="B82" s="9">
        <v>300</v>
      </c>
      <c r="C82" s="25" t="s">
        <v>13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"/>
      <c r="J82" s="19">
        <v>0</v>
      </c>
      <c r="K82" s="19">
        <v>0</v>
      </c>
      <c r="L82" s="19">
        <v>0</v>
      </c>
      <c r="M82" s="19">
        <v>0</v>
      </c>
      <c r="N82" s="19">
        <v>0</v>
      </c>
      <c r="P82" s="28" t="str">
        <f t="shared" si="41"/>
        <v/>
      </c>
      <c r="Q82" s="28" t="str">
        <f t="shared" si="41"/>
        <v/>
      </c>
      <c r="R82" s="28" t="str">
        <f t="shared" si="41"/>
        <v/>
      </c>
      <c r="S82" s="28" t="str">
        <f t="shared" si="41"/>
        <v/>
      </c>
      <c r="T82" s="28" t="str">
        <f t="shared" si="41"/>
        <v/>
      </c>
      <c r="V82" s="28" t="str">
        <f t="shared" si="42"/>
        <v/>
      </c>
      <c r="W82" s="28" t="str">
        <f t="shared" si="43"/>
        <v/>
      </c>
      <c r="Y82" s="30">
        <v>1.018E-7</v>
      </c>
    </row>
    <row r="83" spans="1:25" x14ac:dyDescent="0.25">
      <c r="A83" s="8"/>
      <c r="B83" s="9">
        <v>400</v>
      </c>
      <c r="C83" s="25" t="s">
        <v>15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"/>
      <c r="J83" s="19">
        <v>0</v>
      </c>
      <c r="K83" s="19">
        <v>0</v>
      </c>
      <c r="L83" s="19">
        <v>0</v>
      </c>
      <c r="M83" s="19">
        <v>0</v>
      </c>
      <c r="N83" s="19">
        <v>0</v>
      </c>
      <c r="P83" s="28" t="str">
        <f t="shared" si="41"/>
        <v/>
      </c>
      <c r="Q83" s="28" t="str">
        <f t="shared" si="41"/>
        <v/>
      </c>
      <c r="R83" s="28" t="str">
        <f t="shared" si="41"/>
        <v/>
      </c>
      <c r="S83" s="28" t="str">
        <f t="shared" si="41"/>
        <v/>
      </c>
      <c r="T83" s="28" t="str">
        <f t="shared" si="41"/>
        <v/>
      </c>
      <c r="V83" s="28" t="str">
        <f t="shared" si="42"/>
        <v/>
      </c>
      <c r="W83" s="28" t="str">
        <f t="shared" si="43"/>
        <v/>
      </c>
      <c r="Y83" s="30">
        <v>1.018E-7</v>
      </c>
    </row>
    <row r="84" spans="1:25" x14ac:dyDescent="0.25">
      <c r="A84" s="8"/>
      <c r="B84" s="9">
        <v>500</v>
      </c>
      <c r="C84" s="25" t="s">
        <v>16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"/>
      <c r="J84" s="19">
        <v>0</v>
      </c>
      <c r="K84" s="19">
        <v>0</v>
      </c>
      <c r="L84" s="19">
        <v>0</v>
      </c>
      <c r="M84" s="19">
        <v>0</v>
      </c>
      <c r="N84" s="19">
        <v>0</v>
      </c>
      <c r="P84" s="28" t="str">
        <f t="shared" si="41"/>
        <v/>
      </c>
      <c r="Q84" s="28" t="str">
        <f t="shared" si="41"/>
        <v/>
      </c>
      <c r="R84" s="28" t="str">
        <f t="shared" si="41"/>
        <v/>
      </c>
      <c r="S84" s="28" t="str">
        <f t="shared" si="41"/>
        <v/>
      </c>
      <c r="T84" s="28" t="str">
        <f t="shared" si="41"/>
        <v/>
      </c>
      <c r="V84" s="28" t="str">
        <f t="shared" si="42"/>
        <v/>
      </c>
      <c r="W84" s="28" t="str">
        <f t="shared" si="43"/>
        <v/>
      </c>
      <c r="Y84" s="30">
        <v>1.018E-7</v>
      </c>
    </row>
    <row r="85" spans="1:25" x14ac:dyDescent="0.25">
      <c r="A85" s="8"/>
      <c r="B85" s="9">
        <v>800</v>
      </c>
      <c r="C85" s="25" t="s">
        <v>17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"/>
      <c r="J85" s="19">
        <v>0</v>
      </c>
      <c r="K85" s="19">
        <v>0</v>
      </c>
      <c r="L85" s="19">
        <v>0</v>
      </c>
      <c r="M85" s="19">
        <v>0</v>
      </c>
      <c r="N85" s="19">
        <v>0</v>
      </c>
      <c r="P85" s="28" t="str">
        <f t="shared" si="41"/>
        <v/>
      </c>
      <c r="Q85" s="28" t="str">
        <f t="shared" si="41"/>
        <v/>
      </c>
      <c r="R85" s="28" t="str">
        <f t="shared" si="41"/>
        <v/>
      </c>
      <c r="S85" s="28" t="str">
        <f t="shared" si="41"/>
        <v/>
      </c>
      <c r="T85" s="28" t="str">
        <f t="shared" si="41"/>
        <v/>
      </c>
      <c r="V85" s="28" t="str">
        <f t="shared" si="42"/>
        <v/>
      </c>
      <c r="W85" s="28" t="str">
        <f t="shared" si="43"/>
        <v/>
      </c>
      <c r="Y85" s="30">
        <v>1.018E-7</v>
      </c>
    </row>
    <row r="86" spans="1:25" ht="3" customHeight="1" x14ac:dyDescent="0.25">
      <c r="A86" s="8"/>
      <c r="B86" s="9"/>
      <c r="C86" s="8"/>
      <c r="D86" s="8"/>
      <c r="E86" s="8"/>
      <c r="F86" s="8"/>
      <c r="G86" s="8"/>
      <c r="H86" s="8"/>
      <c r="I86" s="1"/>
      <c r="J86" s="1"/>
      <c r="K86" s="1"/>
      <c r="L86" s="1"/>
      <c r="M86" s="1"/>
      <c r="N86" s="1"/>
      <c r="Y86" s="1"/>
    </row>
    <row r="87" spans="1:25" x14ac:dyDescent="0.25">
      <c r="A87" s="10" t="s">
        <v>41</v>
      </c>
      <c r="B87" s="9"/>
      <c r="C87" s="1"/>
      <c r="D87" s="20">
        <f>SUM(D80:D86)</f>
        <v>77383</v>
      </c>
      <c r="E87" s="20">
        <f t="shared" ref="E87:H87" si="44">SUM(E80:E86)</f>
        <v>69028</v>
      </c>
      <c r="F87" s="20">
        <f t="shared" si="44"/>
        <v>69028</v>
      </c>
      <c r="G87" s="20">
        <f t="shared" si="44"/>
        <v>69028</v>
      </c>
      <c r="H87" s="20">
        <f t="shared" si="44"/>
        <v>69228</v>
      </c>
      <c r="I87" s="8"/>
      <c r="J87" s="20">
        <f t="shared" ref="J87:N87" si="45">SUM(J80:J86)</f>
        <v>60866</v>
      </c>
      <c r="K87" s="20">
        <f t="shared" si="45"/>
        <v>62746</v>
      </c>
      <c r="L87" s="20">
        <f t="shared" si="45"/>
        <v>68882</v>
      </c>
      <c r="M87" s="20">
        <f t="shared" si="45"/>
        <v>45856</v>
      </c>
      <c r="N87" s="20">
        <f t="shared" si="45"/>
        <v>69074</v>
      </c>
      <c r="P87" s="28">
        <f>IF(D87=0,"",+J87/D87)</f>
        <v>0.78655518653967926</v>
      </c>
      <c r="Q87" s="28">
        <f>IF(E87=0,"",+K87/E87)</f>
        <v>0.9089934519325491</v>
      </c>
      <c r="R87" s="28">
        <f>IF(F87=0,"",+L87/F87)</f>
        <v>0.99788491626586318</v>
      </c>
      <c r="S87" s="28">
        <f>IF(G87=0,"",+M87/G87)</f>
        <v>0.664310135017674</v>
      </c>
      <c r="T87" s="28">
        <f>IF(H87=0,"",+N87/H87)</f>
        <v>0.99777546657421856</v>
      </c>
      <c r="V87" s="28">
        <f>IF(SUM(D87:F87)=0,"",SUM(J87:L87)/SUM(D87:F87))</f>
        <v>0.89349653498205994</v>
      </c>
      <c r="W87" s="28">
        <f>IF(SUM(D87:H87)=0,"",SUM(J87:N87)/SUM(D87:H87))</f>
        <v>0.86917824679455458</v>
      </c>
      <c r="Y87" s="1"/>
    </row>
    <row r="88" spans="1:25" x14ac:dyDescent="0.25">
      <c r="A88" s="12"/>
      <c r="B88" s="11"/>
      <c r="C88" s="1"/>
      <c r="D88" s="27"/>
      <c r="E88" s="27"/>
      <c r="F88" s="27"/>
      <c r="G88" s="27"/>
      <c r="H88" s="27"/>
      <c r="I88" s="1"/>
      <c r="J88" s="27"/>
      <c r="K88" s="27"/>
      <c r="L88" s="27"/>
      <c r="M88" s="27"/>
      <c r="N88" s="27"/>
      <c r="Y88" s="1"/>
    </row>
    <row r="89" spans="1:25" ht="15.75" thickBot="1" x14ac:dyDescent="0.3">
      <c r="A89" s="6" t="s">
        <v>32</v>
      </c>
      <c r="B89" s="6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x14ac:dyDescent="0.25">
      <c r="A90" s="8"/>
      <c r="B90" s="9">
        <v>100</v>
      </c>
      <c r="C90" s="25" t="s">
        <v>10</v>
      </c>
      <c r="D90" s="18">
        <v>2506206</v>
      </c>
      <c r="E90" s="18">
        <f>2432087+106532*0</f>
        <v>2432087</v>
      </c>
      <c r="F90" s="18">
        <v>2373754</v>
      </c>
      <c r="G90" s="18">
        <v>2305324</v>
      </c>
      <c r="H90" s="18">
        <v>2516764</v>
      </c>
      <c r="I90" s="1"/>
      <c r="J90" s="18">
        <v>2137491</v>
      </c>
      <c r="K90" s="18">
        <v>2192613</v>
      </c>
      <c r="L90" s="18">
        <v>2281362</v>
      </c>
      <c r="M90" s="18">
        <v>2286502</v>
      </c>
      <c r="N90" s="18">
        <v>2476451</v>
      </c>
      <c r="P90" s="28">
        <f t="shared" ref="P90:T95" si="46">IF(D90=0,"",+J90/D90)</f>
        <v>0.85287921264253619</v>
      </c>
      <c r="Q90" s="28">
        <f t="shared" si="46"/>
        <v>0.90153559473818168</v>
      </c>
      <c r="R90" s="28">
        <f t="shared" si="46"/>
        <v>0.9610776853877866</v>
      </c>
      <c r="S90" s="28">
        <f t="shared" si="46"/>
        <v>0.99183542096468869</v>
      </c>
      <c r="T90" s="28">
        <f t="shared" si="46"/>
        <v>0.98398220890000021</v>
      </c>
      <c r="V90" s="28">
        <f t="shared" ref="V90:V95" si="47">IF(SUM(D90:F90)=0,"",SUM(J90:L90)/SUM(D90:F90))</f>
        <v>0.90418811585866443</v>
      </c>
      <c r="W90" s="28">
        <f t="shared" ref="W90:W95" si="48">IF(SUM(D90:H90)=0,"",SUM(J90:N90)/SUM(D90:H90))</f>
        <v>0.93739018067624924</v>
      </c>
      <c r="Y90" s="30">
        <v>0.90418811585866443</v>
      </c>
    </row>
    <row r="91" spans="1:25" x14ac:dyDescent="0.25">
      <c r="A91" s="8"/>
      <c r="B91" s="9">
        <v>200</v>
      </c>
      <c r="C91" s="25" t="s">
        <v>11</v>
      </c>
      <c r="D91" s="19">
        <v>691614</v>
      </c>
      <c r="E91" s="19">
        <v>691614</v>
      </c>
      <c r="F91" s="19">
        <v>691614</v>
      </c>
      <c r="G91" s="19">
        <v>691614</v>
      </c>
      <c r="H91" s="19">
        <v>691614</v>
      </c>
      <c r="I91" s="1"/>
      <c r="J91" s="19">
        <f>260169+49462</f>
        <v>309631</v>
      </c>
      <c r="K91" s="19">
        <v>670808</v>
      </c>
      <c r="L91" s="19">
        <v>543724</v>
      </c>
      <c r="M91" s="19">
        <v>672341</v>
      </c>
      <c r="N91" s="19">
        <v>657417</v>
      </c>
      <c r="P91" s="28">
        <f t="shared" si="46"/>
        <v>0.44769336653104186</v>
      </c>
      <c r="Q91" s="28">
        <f t="shared" si="46"/>
        <v>0.96991674546784767</v>
      </c>
      <c r="R91" s="28">
        <f t="shared" si="46"/>
        <v>0.7861668502951068</v>
      </c>
      <c r="S91" s="28">
        <f t="shared" si="46"/>
        <v>0.97213329978861041</v>
      </c>
      <c r="T91" s="28">
        <f t="shared" si="46"/>
        <v>0.95055478923214398</v>
      </c>
      <c r="V91" s="28">
        <f t="shared" si="47"/>
        <v>0.73459232076466541</v>
      </c>
      <c r="W91" s="28">
        <f t="shared" si="48"/>
        <v>0.8252930102629501</v>
      </c>
      <c r="Y91" s="30">
        <v>0.73459232076466541</v>
      </c>
    </row>
    <row r="92" spans="1:25" x14ac:dyDescent="0.25">
      <c r="A92" s="8"/>
      <c r="B92" s="9">
        <v>300</v>
      </c>
      <c r="C92" s="25" t="s">
        <v>13</v>
      </c>
      <c r="D92" s="19">
        <v>43010</v>
      </c>
      <c r="E92" s="19">
        <v>43010</v>
      </c>
      <c r="F92" s="19">
        <v>43010</v>
      </c>
      <c r="G92" s="19">
        <v>43010</v>
      </c>
      <c r="H92" s="19">
        <v>43010</v>
      </c>
      <c r="I92" s="1"/>
      <c r="J92" s="19">
        <v>8002</v>
      </c>
      <c r="K92" s="19">
        <v>16663</v>
      </c>
      <c r="L92" s="19">
        <v>36392</v>
      </c>
      <c r="M92" s="19">
        <v>33976</v>
      </c>
      <c r="N92" s="19">
        <v>43010</v>
      </c>
      <c r="P92" s="28">
        <f t="shared" si="46"/>
        <v>0.18604975587072775</v>
      </c>
      <c r="Q92" s="28">
        <f t="shared" si="46"/>
        <v>0.38742152987677286</v>
      </c>
      <c r="R92" s="28">
        <f t="shared" si="46"/>
        <v>0.84612880725412698</v>
      </c>
      <c r="S92" s="28">
        <f t="shared" si="46"/>
        <v>0.78995582422692401</v>
      </c>
      <c r="T92" s="28">
        <f t="shared" si="46"/>
        <v>1</v>
      </c>
      <c r="V92" s="28">
        <f t="shared" si="47"/>
        <v>0.47320003100054253</v>
      </c>
      <c r="W92" s="28">
        <f t="shared" si="48"/>
        <v>0.6419111834457103</v>
      </c>
      <c r="Y92" s="30">
        <v>0.47320003100054253</v>
      </c>
    </row>
    <row r="93" spans="1:25" x14ac:dyDescent="0.25">
      <c r="A93" s="8"/>
      <c r="B93" s="9">
        <v>400</v>
      </c>
      <c r="C93" s="25" t="s">
        <v>15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"/>
      <c r="J93" s="19">
        <v>0</v>
      </c>
      <c r="K93" s="19">
        <v>0</v>
      </c>
      <c r="L93" s="19">
        <v>0</v>
      </c>
      <c r="M93" s="19">
        <v>0</v>
      </c>
      <c r="N93" s="19">
        <v>0</v>
      </c>
      <c r="P93" s="28" t="str">
        <f t="shared" si="46"/>
        <v/>
      </c>
      <c r="Q93" s="28" t="str">
        <f t="shared" si="46"/>
        <v/>
      </c>
      <c r="R93" s="28" t="str">
        <f t="shared" si="46"/>
        <v/>
      </c>
      <c r="S93" s="28" t="str">
        <f t="shared" si="46"/>
        <v/>
      </c>
      <c r="T93" s="28" t="str">
        <f t="shared" si="46"/>
        <v/>
      </c>
      <c r="V93" s="28" t="str">
        <f t="shared" si="47"/>
        <v/>
      </c>
      <c r="W93" s="28" t="str">
        <f t="shared" si="48"/>
        <v/>
      </c>
      <c r="Y93" s="30">
        <v>1.018E-7</v>
      </c>
    </row>
    <row r="94" spans="1:25" x14ac:dyDescent="0.25">
      <c r="A94" s="8"/>
      <c r="B94" s="9">
        <v>500</v>
      </c>
      <c r="C94" s="25" t="s">
        <v>16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"/>
      <c r="J94" s="19">
        <v>0</v>
      </c>
      <c r="K94" s="19">
        <v>0</v>
      </c>
      <c r="L94" s="19">
        <v>0</v>
      </c>
      <c r="M94" s="19">
        <v>0</v>
      </c>
      <c r="N94" s="19">
        <v>0</v>
      </c>
      <c r="P94" s="28" t="str">
        <f t="shared" si="46"/>
        <v/>
      </c>
      <c r="Q94" s="28" t="str">
        <f t="shared" si="46"/>
        <v/>
      </c>
      <c r="R94" s="28" t="str">
        <f t="shared" si="46"/>
        <v/>
      </c>
      <c r="S94" s="28" t="str">
        <f t="shared" si="46"/>
        <v/>
      </c>
      <c r="T94" s="28" t="str">
        <f t="shared" si="46"/>
        <v/>
      </c>
      <c r="V94" s="28" t="str">
        <f t="shared" si="47"/>
        <v/>
      </c>
      <c r="W94" s="28" t="str">
        <f t="shared" si="48"/>
        <v/>
      </c>
      <c r="Y94" s="29">
        <v>1</v>
      </c>
    </row>
    <row r="95" spans="1:25" x14ac:dyDescent="0.25">
      <c r="A95" s="8"/>
      <c r="B95" s="9">
        <v>800</v>
      </c>
      <c r="C95" s="25" t="s">
        <v>17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  <c r="I95" s="1"/>
      <c r="J95" s="19">
        <v>0</v>
      </c>
      <c r="K95" s="19">
        <v>0</v>
      </c>
      <c r="L95" s="19">
        <v>0</v>
      </c>
      <c r="M95" s="19">
        <v>0</v>
      </c>
      <c r="N95" s="19">
        <v>0</v>
      </c>
      <c r="P95" s="28" t="str">
        <f t="shared" si="46"/>
        <v/>
      </c>
      <c r="Q95" s="28" t="str">
        <f t="shared" si="46"/>
        <v/>
      </c>
      <c r="R95" s="28" t="str">
        <f t="shared" si="46"/>
        <v/>
      </c>
      <c r="S95" s="28" t="str">
        <f t="shared" si="46"/>
        <v/>
      </c>
      <c r="T95" s="28" t="str">
        <f t="shared" si="46"/>
        <v/>
      </c>
      <c r="V95" s="28" t="str">
        <f t="shared" si="47"/>
        <v/>
      </c>
      <c r="W95" s="28" t="str">
        <f t="shared" si="48"/>
        <v/>
      </c>
      <c r="Y95" s="30">
        <v>1.018E-7</v>
      </c>
    </row>
    <row r="96" spans="1:25" ht="3" customHeight="1" x14ac:dyDescent="0.25">
      <c r="A96" s="8"/>
      <c r="B96" s="9"/>
      <c r="C96" s="8"/>
      <c r="D96" s="8"/>
      <c r="E96" s="8"/>
      <c r="F96" s="8"/>
      <c r="G96" s="8"/>
      <c r="H96" s="8"/>
      <c r="I96" s="1"/>
      <c r="J96" s="1"/>
      <c r="K96" s="1"/>
      <c r="L96" s="1"/>
      <c r="M96" s="1"/>
      <c r="N96" s="1"/>
      <c r="Y96" s="1"/>
    </row>
    <row r="97" spans="1:25" x14ac:dyDescent="0.25">
      <c r="A97" s="10" t="s">
        <v>42</v>
      </c>
      <c r="B97" s="8"/>
      <c r="C97" s="8"/>
      <c r="D97" s="20">
        <f t="shared" ref="D97:H97" si="49">SUM(D90:D96)</f>
        <v>3240830</v>
      </c>
      <c r="E97" s="20">
        <f t="shared" si="49"/>
        <v>3166711</v>
      </c>
      <c r="F97" s="20">
        <f t="shared" si="49"/>
        <v>3108378</v>
      </c>
      <c r="G97" s="20">
        <f t="shared" si="49"/>
        <v>3039948</v>
      </c>
      <c r="H97" s="20">
        <f t="shared" si="49"/>
        <v>3251388</v>
      </c>
      <c r="I97" s="8"/>
      <c r="J97" s="20">
        <f t="shared" ref="J97:N97" si="50">SUM(J90:J96)</f>
        <v>2455124</v>
      </c>
      <c r="K97" s="20">
        <f t="shared" si="50"/>
        <v>2880084</v>
      </c>
      <c r="L97" s="20">
        <f t="shared" si="50"/>
        <v>2861478</v>
      </c>
      <c r="M97" s="20">
        <f t="shared" si="50"/>
        <v>2992819</v>
      </c>
      <c r="N97" s="20">
        <f t="shared" si="50"/>
        <v>3176878</v>
      </c>
      <c r="P97" s="28">
        <f>IF(D97=0,"",+J97/D97)</f>
        <v>0.75756025462612975</v>
      </c>
      <c r="Q97" s="28">
        <f>IF(E97=0,"",+K97/E97)</f>
        <v>0.90948747770162797</v>
      </c>
      <c r="R97" s="28">
        <f>IF(F97=0,"",+L97/F97)</f>
        <v>0.92056950602532894</v>
      </c>
      <c r="S97" s="28">
        <f>IF(G97=0,"",+M97/G97)</f>
        <v>0.98449677428692861</v>
      </c>
      <c r="T97" s="28">
        <f>IF(H97=0,"",+N97/H97)</f>
        <v>0.97708363320526492</v>
      </c>
      <c r="V97" s="28">
        <f>IF(SUM(D97:F97)=0,"",SUM(J97:L97)/SUM(D97:F97))</f>
        <v>0.8613656757692032</v>
      </c>
      <c r="W97" s="28">
        <f>IF(SUM(D97:H97)=0,"",SUM(J97:N97)/SUM(D97:H97))</f>
        <v>0.9088474248058882</v>
      </c>
      <c r="Y97" s="1"/>
    </row>
    <row r="98" spans="1:25" x14ac:dyDescent="0.25">
      <c r="Y98" s="1"/>
    </row>
    <row r="99" spans="1:25" x14ac:dyDescent="0.25">
      <c r="A99" t="s">
        <v>45</v>
      </c>
      <c r="D99" s="24">
        <f>+D97+D87+D77+D67+D54+D44+D34+D24+D14</f>
        <v>165042617</v>
      </c>
      <c r="E99" s="24">
        <f>+E97+E87+E77+E67+E54+E44+E34+E24+E14</f>
        <v>158572395</v>
      </c>
      <c r="F99" s="24">
        <f>+F97+F87+F77+F67+F54+F44+F34+F24+F14</f>
        <v>154039328</v>
      </c>
      <c r="G99" s="24">
        <f>+G97+G87+G77+G67+G54+G44+G34+G24+G14</f>
        <v>150428447</v>
      </c>
      <c r="H99" s="24">
        <f>+H97+H87+H77+H67+H54+H44+H34+H24+H14</f>
        <v>133609579</v>
      </c>
      <c r="J99" s="24">
        <f>+J97+J87+J77+J67+J54+J44+J34+J24+J14</f>
        <v>151393779</v>
      </c>
      <c r="K99" s="24">
        <f>+K97+K87+K77+K67+K54+K44+K34+K24+K14</f>
        <v>152615511.03000003</v>
      </c>
      <c r="L99" s="24">
        <f>+L97+L87+L77+L67+L54+L44+L34+L24+L14</f>
        <v>144125309.42000002</v>
      </c>
      <c r="M99" s="24">
        <f>+M97+M87+M77+M67+M54+M44+M34+M24+M14</f>
        <v>129941283.14</v>
      </c>
      <c r="N99" s="24">
        <f>+N97+N87+N77+N67+N54+N44+N34+N24+N14</f>
        <v>128321799.25999998</v>
      </c>
      <c r="P99" s="28">
        <f>IF(D99=0,"",+J99/D99)</f>
        <v>0.91730112956219056</v>
      </c>
      <c r="Q99" s="28">
        <f>IF(E99=0,"",+K99/E99)</f>
        <v>0.96243429400180291</v>
      </c>
      <c r="R99" s="28">
        <f>IF(F99=0,"",+L99/F99)</f>
        <v>0.93563969209213904</v>
      </c>
      <c r="S99" s="28">
        <f>IF(G99=0,"",+M99/G99)</f>
        <v>0.86380791486865516</v>
      </c>
      <c r="T99" s="28">
        <f>IF(H99=0,"",+N99/H99)</f>
        <v>0.96042364791823776</v>
      </c>
      <c r="V99" s="28">
        <f>IF(SUM(D99:F99)=0,"",SUM(J99:L99)/SUM(D99:F99))</f>
        <v>0.93819852961034556</v>
      </c>
      <c r="W99" s="28">
        <f>IF(SUM(D99:H99)=0,"",SUM(J99:N99)/SUM(D99:H99))</f>
        <v>0.92740548990876981</v>
      </c>
      <c r="Y99" s="1"/>
    </row>
    <row r="100" spans="1:25" x14ac:dyDescent="0.25">
      <c r="Y100" s="1"/>
    </row>
    <row r="101" spans="1:25" x14ac:dyDescent="0.25">
      <c r="O101" t="s">
        <v>50</v>
      </c>
      <c r="P101" t="s">
        <v>52</v>
      </c>
      <c r="Y101" s="1"/>
    </row>
    <row r="102" spans="1:25" x14ac:dyDescent="0.25">
      <c r="P102" t="s">
        <v>53</v>
      </c>
      <c r="Y102" s="1"/>
    </row>
    <row r="103" spans="1:25" x14ac:dyDescent="0.25">
      <c r="Y103" s="1"/>
    </row>
    <row r="104" spans="1:25" x14ac:dyDescent="0.25">
      <c r="Y104" s="1"/>
    </row>
    <row r="105" spans="1:25" x14ac:dyDescent="0.25">
      <c r="Y105" s="1"/>
    </row>
    <row r="106" spans="1:25" x14ac:dyDescent="0.25">
      <c r="Y106" s="1"/>
    </row>
    <row r="107" spans="1:25" x14ac:dyDescent="0.25">
      <c r="Y107" s="1"/>
    </row>
    <row r="108" spans="1:25" x14ac:dyDescent="0.25">
      <c r="Y108" s="1"/>
    </row>
    <row r="109" spans="1:25" x14ac:dyDescent="0.25">
      <c r="Y109" s="1"/>
    </row>
    <row r="110" spans="1:25" x14ac:dyDescent="0.25">
      <c r="Y110" s="1"/>
    </row>
    <row r="111" spans="1:25" x14ac:dyDescent="0.25">
      <c r="Y111" s="1"/>
    </row>
    <row r="112" spans="1:25" x14ac:dyDescent="0.25">
      <c r="Y112" s="1"/>
    </row>
  </sheetData>
  <pageMargins left="0.7" right="0.7" top="0.75" bottom="0.75" header="0.3" footer="0.3"/>
  <pageSetup scale="67" fitToWidth="2" fitToHeight="0" orientation="landscape" horizontalDpi="1200" verticalDpi="1200" r:id="rId1"/>
  <headerFooter>
    <oddHeader>&amp;LActual to Budget Data&amp;RInter Departmental O&amp;&amp;M</oddHeader>
    <oddFooter>&amp;L&amp;F&amp;C&amp;P&amp;R&amp;D</oddFooter>
  </headerFooter>
  <rowBreaks count="1" manualBreakCount="1">
    <brk id="55" min="3" max="24" man="1"/>
  </rowBreaks>
  <colBreaks count="1" manualBreakCount="1">
    <brk id="14" min="4" max="101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25A0C4D365348A46B7F030FCA31C1" ma:contentTypeVersion="0" ma:contentTypeDescription="Create a new document." ma:contentTypeScope="" ma:versionID="27951fc15143f3742552ee8c5389e1d3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77F03F-57D4-4BF2-8FDD-6B21836E7C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C68768F-BD90-4344-8425-A22F96B41599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0D5FC2-8298-40CE-A7BD-3716E2656A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Direct</vt:lpstr>
      <vt:lpstr>Inter Dept</vt:lpstr>
      <vt:lpstr>Sheet3</vt:lpstr>
      <vt:lpstr>Direct!Print_Area</vt:lpstr>
      <vt:lpstr>'Inter Dept'!Print_Area</vt:lpstr>
      <vt:lpstr>Direct!Print_Titles</vt:lpstr>
      <vt:lpstr>'Inter Dept'!Print_Titles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Jagt</dc:creator>
  <cp:lastModifiedBy>Dave Jagt</cp:lastModifiedBy>
  <cp:lastPrinted>2016-01-14T11:40:44Z</cp:lastPrinted>
  <dcterms:created xsi:type="dcterms:W3CDTF">2015-12-21T20:10:35Z</dcterms:created>
  <dcterms:modified xsi:type="dcterms:W3CDTF">2016-01-14T11:40:50Z</dcterms:modified>
</cp:coreProperties>
</file>