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1075" windowHeight="8640"/>
  </bookViews>
  <sheets>
    <sheet name="Direct O&amp;M" sheetId="1" r:id="rId1"/>
    <sheet name="Other Dept O&amp;M" sheetId="2" r:id="rId2"/>
  </sheets>
  <externalReferences>
    <externalReference r:id="rId3"/>
  </externalReferences>
  <definedNames>
    <definedName name="BYR">[1]Home!$A$4</definedName>
    <definedName name="Capitalized_Interest_Length">'[1]Assumption #s'!$A$478:$A$483</definedName>
    <definedName name="CBWorkbookPriority">-975096245</definedName>
    <definedName name="CIP_Esc">'[1]Assumption #s'!$A$1471:$A$1473</definedName>
    <definedName name="CIP_Lookup">'[1]Assumption #s'!$A$1471:$B$1473</definedName>
    <definedName name="Criticality_Scale">'[1]Capital Projects'!$Y$12:$Y$16</definedName>
    <definedName name="Customer_Classes">'[1]Assumption #s'!$A$499:$A$505</definedName>
    <definedName name="Customer_List">'[1]Assumption #s'!$A$25:$A$31</definedName>
    <definedName name="Dashboard_Utility">[1]Dashboard!$BA$114:$BA$116</definedName>
    <definedName name="Funds">[1]Funds!$B$348:$B$353</definedName>
    <definedName name="Meter_Sizes">'[1]Assumption #s'!$A$523:$A$535</definedName>
    <definedName name="OM_Escalation">'[1]Assumption #s'!$A$460:$A$474</definedName>
    <definedName name="OM_Expenses" localSheetId="1">'Other Dept O&amp;M'!#REF!</definedName>
    <definedName name="OM_Expenses">'Direct O&amp;M'!#REF!</definedName>
    <definedName name="OM_New_Col" localSheetId="1">'Other Dept O&amp;M'!$O:$O</definedName>
    <definedName name="OM_New_Col">'Direct O&amp;M'!$O:$O</definedName>
    <definedName name="OM_Utility" localSheetId="1">'Other Dept O&amp;M'!#REF!</definedName>
    <definedName name="OM_Utility">'Direct O&amp;M'!#REF!</definedName>
    <definedName name="OMColumn_Clear" localSheetId="1">'Other Dept O&amp;M'!#REF!</definedName>
    <definedName name="OMColumn_Clear">'Direct O&amp;M'!#REF!</definedName>
    <definedName name="OMColumn_Copy" localSheetId="1">'Other Dept O&amp;M'!$O$3:$O$135</definedName>
    <definedName name="OMColumn_Copy">'Direct O&amp;M'!$O$3:$O$85</definedName>
    <definedName name="OMColumn_Paste" localSheetId="1">'Other Dept O&amp;M'!#REF!</definedName>
    <definedName name="OMColumn_Paste">'Direct O&amp;M'!#REF!</definedName>
    <definedName name="_xlnm.Print_Area" localSheetId="0">'Direct O&amp;M'!$A$5:$C$85</definedName>
    <definedName name="_xlnm.Print_Area" localSheetId="1">'Other Dept O&amp;M'!$A$8:$C$135</definedName>
    <definedName name="_xlnm.Print_Titles" localSheetId="0">'Direct O&amp;M'!$2:$4</definedName>
    <definedName name="_xlnm.Print_Titles" localSheetId="1">'Other Dept O&amp;M'!$2:$4</definedName>
    <definedName name="TYR">[1]Home!$A$5</definedName>
    <definedName name="Z_Account_List">'[1]Assumption #s'!$A$15:$A$19</definedName>
    <definedName name="Z_Account_Lookup">'[1]Assumption #s'!$A$15:$S$20</definedName>
    <definedName name="Z_Chart_rev_SelChart" localSheetId="1">CHOOSE('[1]Dashboard Data'!$K$309,Z_Dash_Rev_Chart1,Z_Dash_Rev_Chart2)</definedName>
    <definedName name="Z_Chart_rev_SelChart">CHOOSE('[1]Dashboard Data'!$K$309,Z_Dash_Rev_Chart1,Z_Dash_Rev_Chart2)</definedName>
    <definedName name="Z_Dash_Rev_Chart1">'[1]Dashboard Data'!$K$270:$X$283</definedName>
    <definedName name="Z_Dash_Rev_Chart2">'[1]Dashboard Data'!$K$286:$X$299</definedName>
    <definedName name="Z_OM_Adj1">'[1]O&amp;M Adjustments'!$A$11</definedName>
    <definedName name="Z_OM_Adj10">'[1]O&amp;M Adjustments'!$A$20</definedName>
    <definedName name="Z_OM_Adj11">'[1]O&amp;M Adjustments'!$A$21</definedName>
    <definedName name="Z_OM_Adj2">'[1]O&amp;M Adjustments'!$A$12</definedName>
    <definedName name="Z_OM_Adj3">'[1]O&amp;M Adjustments'!$A$13</definedName>
    <definedName name="Z_OM_Adj4">'[1]O&amp;M Adjustments'!$A$14</definedName>
    <definedName name="Z_OM_Adj5">'[1]O&amp;M Adjustments'!$A$15</definedName>
    <definedName name="Z_OM_Adj6">'[1]O&amp;M Adjustments'!$A$16</definedName>
    <definedName name="Z_OM_Adj7">'[1]O&amp;M Adjustments'!$A$17</definedName>
    <definedName name="Z_OM_Adj8">'[1]O&amp;M Adjustments'!$A$18</definedName>
    <definedName name="Z_OM_Adj9">'[1]O&amp;M Adjustments'!$A$19</definedName>
    <definedName name="Z_SLE" localSheetId="1">'[1]Direct O&amp;M'!$K$522</definedName>
    <definedName name="Z_SLE">'Direct O&amp;M'!#REF!</definedName>
    <definedName name="Z_Volume_List">'[1]Assumption #s'!$A$25:$A$31</definedName>
    <definedName name="Z_Volume_Lookup">'[1]Assumption #s'!$A$25:$R$32</definedName>
    <definedName name="z_wle">'Direct O&amp;M'!#REF!</definedName>
    <definedName name="Z_Year_Lookup">'[1]Assumption #s'!$C$13:$R$14</definedName>
    <definedName name="zCIPCrit">[1]Dashboard!$G$14</definedName>
    <definedName name="zDashDebt">[1]Dashboard!$D$18</definedName>
    <definedName name="zDashDebt_2">[1]Dashboard!$D$21</definedName>
    <definedName name="zDashDebt_3">[1]Dashboard!$D$24</definedName>
    <definedName name="zDashSelect">'[1]CF Data'!$A$314</definedName>
    <definedName name="zDashStab">[1]Dashboard!$D$61</definedName>
    <definedName name="zPaste">'[1]Dashboard Storage'!$B$680</definedName>
    <definedName name="zRate">[1]Dashboard!$D$57</definedName>
    <definedName name="zTran">[1]Dashboard!$D$35</definedName>
  </definedNames>
  <calcPr calcId="145621"/>
</workbook>
</file>

<file path=xl/calcChain.xml><?xml version="1.0" encoding="utf-8"?>
<calcChain xmlns="http://schemas.openxmlformats.org/spreadsheetml/2006/main">
  <c r="P20" i="2" l="1"/>
  <c r="Q19" i="1"/>
  <c r="T18" i="1"/>
  <c r="S18" i="1"/>
  <c r="R18" i="1"/>
  <c r="Q18" i="1"/>
  <c r="P18" i="1"/>
  <c r="E18" i="1" l="1"/>
  <c r="F18" i="1"/>
  <c r="G18" i="1"/>
  <c r="H18" i="1"/>
  <c r="I18" i="1"/>
  <c r="J18" i="1"/>
  <c r="K18" i="1"/>
  <c r="E19" i="1"/>
  <c r="F19" i="1"/>
  <c r="F23" i="1"/>
  <c r="I38" i="1"/>
  <c r="E39" i="1"/>
  <c r="F39" i="1"/>
  <c r="G39" i="1"/>
  <c r="H39" i="1"/>
  <c r="I39" i="1"/>
  <c r="J39" i="1"/>
  <c r="K39" i="1"/>
  <c r="F40" i="1"/>
  <c r="H40" i="1"/>
  <c r="E42" i="1"/>
  <c r="F42" i="1"/>
  <c r="G42" i="1"/>
  <c r="I61" i="1"/>
  <c r="F10" i="2"/>
  <c r="I10" i="2"/>
  <c r="E12" i="2"/>
  <c r="G12" i="2"/>
  <c r="H12" i="2"/>
  <c r="I12" i="2"/>
  <c r="J12" i="2"/>
  <c r="K12" i="2"/>
  <c r="F13" i="2"/>
  <c r="G13" i="2"/>
  <c r="H13" i="2"/>
  <c r="I13" i="2"/>
  <c r="J13" i="2"/>
  <c r="K13" i="2"/>
  <c r="E20" i="2"/>
  <c r="F20" i="2"/>
  <c r="G20" i="2"/>
  <c r="I20" i="2"/>
  <c r="F21" i="2"/>
  <c r="F50" i="2"/>
  <c r="I50" i="2"/>
  <c r="E52" i="2"/>
  <c r="G62" i="2"/>
  <c r="F86" i="2"/>
  <c r="I86" i="2"/>
  <c r="E88" i="2"/>
  <c r="G88" i="2"/>
  <c r="F96" i="2"/>
  <c r="I96" i="2"/>
  <c r="F106" i="2"/>
  <c r="I106" i="2"/>
  <c r="E108" i="2"/>
  <c r="A132" i="2" l="1"/>
  <c r="T130" i="2"/>
  <c r="S130" i="2"/>
  <c r="R130" i="2"/>
  <c r="Q130" i="2"/>
  <c r="P130" i="2"/>
  <c r="O130" i="2"/>
  <c r="K130" i="2"/>
  <c r="J130" i="2"/>
  <c r="I130" i="2"/>
  <c r="H130" i="2"/>
  <c r="G130" i="2"/>
  <c r="F130" i="2"/>
  <c r="E130" i="2"/>
  <c r="T129" i="2"/>
  <c r="S129" i="2"/>
  <c r="R129" i="2"/>
  <c r="Q129" i="2"/>
  <c r="P129" i="2"/>
  <c r="O129" i="2"/>
  <c r="K129" i="2"/>
  <c r="J129" i="2"/>
  <c r="I129" i="2"/>
  <c r="H129" i="2"/>
  <c r="G129" i="2"/>
  <c r="F129" i="2"/>
  <c r="E129" i="2"/>
  <c r="T128" i="2"/>
  <c r="S128" i="2"/>
  <c r="R128" i="2"/>
  <c r="Q128" i="2"/>
  <c r="P128" i="2"/>
  <c r="O128" i="2"/>
  <c r="E128" i="2"/>
  <c r="T127" i="2"/>
  <c r="S127" i="2"/>
  <c r="R127" i="2"/>
  <c r="Q127" i="2"/>
  <c r="P127" i="2"/>
  <c r="O127" i="2"/>
  <c r="K127" i="2"/>
  <c r="J127" i="2"/>
  <c r="I127" i="2"/>
  <c r="H127" i="2"/>
  <c r="G127" i="2"/>
  <c r="F127" i="2"/>
  <c r="E127" i="2"/>
  <c r="T126" i="2"/>
  <c r="S126" i="2"/>
  <c r="R126" i="2"/>
  <c r="O126" i="2"/>
  <c r="F126" i="2"/>
  <c r="T125" i="2"/>
  <c r="S125" i="2"/>
  <c r="R125" i="2"/>
  <c r="Q125" i="2"/>
  <c r="P125" i="2"/>
  <c r="O125" i="2"/>
  <c r="K125" i="2"/>
  <c r="J125" i="2"/>
  <c r="I125" i="2"/>
  <c r="H125" i="2"/>
  <c r="G125" i="2"/>
  <c r="F125" i="2"/>
  <c r="E125" i="2"/>
  <c r="T124" i="2"/>
  <c r="S124" i="2"/>
  <c r="R124" i="2"/>
  <c r="Q124" i="2"/>
  <c r="P124" i="2"/>
  <c r="O124" i="2"/>
  <c r="K124" i="2"/>
  <c r="J124" i="2"/>
  <c r="I124" i="2"/>
  <c r="H124" i="2"/>
  <c r="G124" i="2"/>
  <c r="F124" i="2"/>
  <c r="E124" i="2"/>
  <c r="T123" i="2"/>
  <c r="S123" i="2"/>
  <c r="R123" i="2"/>
  <c r="P123" i="2"/>
  <c r="O123" i="2"/>
  <c r="K123" i="2"/>
  <c r="J123" i="2"/>
  <c r="I123" i="2"/>
  <c r="H123" i="2"/>
  <c r="G123" i="2"/>
  <c r="E123" i="2"/>
  <c r="T122" i="2"/>
  <c r="S122" i="2"/>
  <c r="R122" i="2"/>
  <c r="Q122" i="2"/>
  <c r="P122" i="2"/>
  <c r="O122" i="2"/>
  <c r="K122" i="2"/>
  <c r="J122" i="2"/>
  <c r="I122" i="2"/>
  <c r="H122" i="2"/>
  <c r="G122" i="2"/>
  <c r="F122" i="2"/>
  <c r="E122" i="2"/>
  <c r="T121" i="2"/>
  <c r="S121" i="2"/>
  <c r="R121" i="2"/>
  <c r="Q121" i="2"/>
  <c r="P121" i="2"/>
  <c r="O121" i="2"/>
  <c r="K121" i="2"/>
  <c r="J121" i="2"/>
  <c r="I121" i="2"/>
  <c r="H121" i="2"/>
  <c r="G121" i="2"/>
  <c r="F121" i="2"/>
  <c r="E121" i="2"/>
  <c r="T120" i="2"/>
  <c r="S120" i="2"/>
  <c r="R120" i="2"/>
  <c r="Q120" i="2"/>
  <c r="P120" i="2"/>
  <c r="O120" i="2"/>
  <c r="K120" i="2"/>
  <c r="J120" i="2"/>
  <c r="I120" i="2"/>
  <c r="H120" i="2"/>
  <c r="G120" i="2"/>
  <c r="F120" i="2"/>
  <c r="E120" i="2"/>
  <c r="T119" i="2"/>
  <c r="S119" i="2"/>
  <c r="R119" i="2"/>
  <c r="Q119" i="2"/>
  <c r="P119" i="2"/>
  <c r="O119" i="2"/>
  <c r="K119" i="2"/>
  <c r="J119" i="2"/>
  <c r="I119" i="2"/>
  <c r="H119" i="2"/>
  <c r="G119" i="2"/>
  <c r="F119" i="2"/>
  <c r="E119" i="2"/>
  <c r="T118" i="2"/>
  <c r="S118" i="2"/>
  <c r="R118" i="2"/>
  <c r="Q118" i="2"/>
  <c r="P118" i="2"/>
  <c r="O118" i="2"/>
  <c r="K118" i="2"/>
  <c r="J118" i="2"/>
  <c r="I118" i="2"/>
  <c r="H118" i="2"/>
  <c r="F118" i="2"/>
  <c r="E118" i="2"/>
  <c r="T117" i="2"/>
  <c r="S117" i="2"/>
  <c r="R117" i="2"/>
  <c r="Q117" i="2"/>
  <c r="P117" i="2"/>
  <c r="O117" i="2"/>
  <c r="K117" i="2"/>
  <c r="J117" i="2"/>
  <c r="I117" i="2"/>
  <c r="H117" i="2"/>
  <c r="G117" i="2"/>
  <c r="F117" i="2"/>
  <c r="E117" i="2"/>
  <c r="T116" i="2"/>
  <c r="S116" i="2"/>
  <c r="R116" i="2"/>
  <c r="Q116" i="2"/>
  <c r="O116" i="2"/>
  <c r="K116" i="2"/>
  <c r="J116" i="2"/>
  <c r="H116" i="2"/>
  <c r="T113" i="2"/>
  <c r="S113" i="2"/>
  <c r="R113" i="2"/>
  <c r="O113" i="2"/>
  <c r="K113" i="2"/>
  <c r="J113" i="2"/>
  <c r="H113" i="2"/>
  <c r="G113" i="2"/>
  <c r="A113" i="2"/>
  <c r="P113" i="2"/>
  <c r="E113" i="2"/>
  <c r="Q113" i="2"/>
  <c r="I113" i="2"/>
  <c r="F113" i="2"/>
  <c r="T103" i="2"/>
  <c r="S103" i="2"/>
  <c r="R103" i="2"/>
  <c r="Q103" i="2"/>
  <c r="P103" i="2"/>
  <c r="O103" i="2"/>
  <c r="K103" i="2"/>
  <c r="J103" i="2"/>
  <c r="H103" i="2"/>
  <c r="G103" i="2"/>
  <c r="E103" i="2"/>
  <c r="A103" i="2"/>
  <c r="I103" i="2"/>
  <c r="F103" i="2"/>
  <c r="T93" i="2"/>
  <c r="S93" i="2"/>
  <c r="R93" i="2"/>
  <c r="P93" i="2"/>
  <c r="O93" i="2"/>
  <c r="K93" i="2"/>
  <c r="J93" i="2"/>
  <c r="H93" i="2"/>
  <c r="A93" i="2"/>
  <c r="G93" i="2"/>
  <c r="E93" i="2"/>
  <c r="I93" i="2"/>
  <c r="F93" i="2"/>
  <c r="T83" i="2"/>
  <c r="S83" i="2"/>
  <c r="R83" i="2"/>
  <c r="Q83" i="2"/>
  <c r="P83" i="2"/>
  <c r="O83" i="2"/>
  <c r="K83" i="2"/>
  <c r="J83" i="2"/>
  <c r="I83" i="2"/>
  <c r="H83" i="2"/>
  <c r="G83" i="2"/>
  <c r="F83" i="2"/>
  <c r="E83" i="2"/>
  <c r="A83" i="2"/>
  <c r="T70" i="2"/>
  <c r="S70" i="2"/>
  <c r="R70" i="2"/>
  <c r="Q70" i="2"/>
  <c r="P70" i="2"/>
  <c r="O70" i="2"/>
  <c r="K70" i="2"/>
  <c r="J70" i="2"/>
  <c r="I70" i="2"/>
  <c r="H70" i="2"/>
  <c r="F70" i="2"/>
  <c r="E70" i="2"/>
  <c r="A70" i="2"/>
  <c r="T57" i="2"/>
  <c r="S57" i="2"/>
  <c r="R57" i="2"/>
  <c r="O57" i="2"/>
  <c r="K57" i="2"/>
  <c r="J57" i="2"/>
  <c r="H57" i="2"/>
  <c r="G57" i="2"/>
  <c r="A57" i="2"/>
  <c r="P57" i="2"/>
  <c r="E57" i="2"/>
  <c r="I57" i="2"/>
  <c r="F57" i="2"/>
  <c r="T47" i="2"/>
  <c r="S47" i="2"/>
  <c r="R47" i="2"/>
  <c r="Q47" i="2"/>
  <c r="P47" i="2"/>
  <c r="O47" i="2"/>
  <c r="K47" i="2"/>
  <c r="J47" i="2"/>
  <c r="I47" i="2"/>
  <c r="H47" i="2"/>
  <c r="G47" i="2"/>
  <c r="F47" i="2"/>
  <c r="E47" i="2"/>
  <c r="A47" i="2"/>
  <c r="T37" i="2"/>
  <c r="S37" i="2"/>
  <c r="R37" i="2"/>
  <c r="Q37" i="2"/>
  <c r="P37" i="2"/>
  <c r="O37" i="2"/>
  <c r="K37" i="2"/>
  <c r="J37" i="2"/>
  <c r="I37" i="2"/>
  <c r="H37" i="2"/>
  <c r="G37" i="2"/>
  <c r="F37" i="2"/>
  <c r="E37" i="2"/>
  <c r="A37" i="2"/>
  <c r="T27" i="2"/>
  <c r="S27" i="2"/>
  <c r="R27" i="2"/>
  <c r="Q27" i="2"/>
  <c r="O27" i="2"/>
  <c r="K27" i="2"/>
  <c r="J27" i="2"/>
  <c r="H27" i="2"/>
  <c r="A27" i="2"/>
  <c r="F123" i="2"/>
  <c r="P116" i="2"/>
  <c r="I27" i="2"/>
  <c r="G116" i="2"/>
  <c r="E27" i="2"/>
  <c r="T17" i="2"/>
  <c r="S17" i="2"/>
  <c r="R17" i="2"/>
  <c r="O17" i="2"/>
  <c r="A17" i="2"/>
  <c r="K128" i="2"/>
  <c r="I128" i="2"/>
  <c r="H128" i="2"/>
  <c r="G128" i="2"/>
  <c r="F128" i="2"/>
  <c r="P17" i="2"/>
  <c r="J126" i="2"/>
  <c r="I126" i="2"/>
  <c r="H126" i="2"/>
  <c r="E17" i="2"/>
  <c r="A82" i="1"/>
  <c r="T80" i="1"/>
  <c r="S80" i="1"/>
  <c r="R80" i="1"/>
  <c r="Q80" i="1"/>
  <c r="P80" i="1"/>
  <c r="O80" i="1"/>
  <c r="K80" i="1"/>
  <c r="J80" i="1"/>
  <c r="I80" i="1"/>
  <c r="H80" i="1"/>
  <c r="G80" i="1"/>
  <c r="E80" i="1"/>
  <c r="T79" i="1"/>
  <c r="S79" i="1"/>
  <c r="R79" i="1"/>
  <c r="Q79" i="1"/>
  <c r="P79" i="1"/>
  <c r="O79" i="1"/>
  <c r="K79" i="1"/>
  <c r="J79" i="1"/>
  <c r="I79" i="1"/>
  <c r="H79" i="1"/>
  <c r="G79" i="1"/>
  <c r="F79" i="1"/>
  <c r="E79" i="1"/>
  <c r="T78" i="1"/>
  <c r="S78" i="1"/>
  <c r="R78" i="1"/>
  <c r="Q78" i="1"/>
  <c r="P78" i="1"/>
  <c r="O78" i="1"/>
  <c r="K78" i="1"/>
  <c r="J78" i="1"/>
  <c r="I78" i="1"/>
  <c r="H78" i="1"/>
  <c r="G78" i="1"/>
  <c r="F78" i="1"/>
  <c r="E78" i="1"/>
  <c r="T77" i="1"/>
  <c r="S77" i="1"/>
  <c r="R77" i="1"/>
  <c r="Q77" i="1"/>
  <c r="P77" i="1"/>
  <c r="O77" i="1"/>
  <c r="K77" i="1"/>
  <c r="J77" i="1"/>
  <c r="I77" i="1"/>
  <c r="H77" i="1"/>
  <c r="G77" i="1"/>
  <c r="F77" i="1"/>
  <c r="E77" i="1"/>
  <c r="T76" i="1"/>
  <c r="S76" i="1"/>
  <c r="Q76" i="1"/>
  <c r="K76" i="1"/>
  <c r="J76" i="1"/>
  <c r="I76" i="1"/>
  <c r="H76" i="1"/>
  <c r="T75" i="1"/>
  <c r="S75" i="1"/>
  <c r="R75" i="1"/>
  <c r="P75" i="1"/>
  <c r="K75" i="1"/>
  <c r="J75" i="1"/>
  <c r="I75" i="1"/>
  <c r="H75" i="1"/>
  <c r="G75" i="1"/>
  <c r="T74" i="1"/>
  <c r="S74" i="1"/>
  <c r="R74" i="1"/>
  <c r="Q74" i="1"/>
  <c r="P74" i="1"/>
  <c r="O74" i="1"/>
  <c r="K74" i="1"/>
  <c r="J74" i="1"/>
  <c r="I74" i="1"/>
  <c r="H74" i="1"/>
  <c r="G74" i="1"/>
  <c r="F74" i="1"/>
  <c r="E74" i="1"/>
  <c r="T73" i="1"/>
  <c r="S73" i="1"/>
  <c r="R73" i="1"/>
  <c r="Q73" i="1"/>
  <c r="P73" i="1"/>
  <c r="O73" i="1"/>
  <c r="K73" i="1"/>
  <c r="J73" i="1"/>
  <c r="I73" i="1"/>
  <c r="G73" i="1"/>
  <c r="E73" i="1"/>
  <c r="T71" i="1"/>
  <c r="S71" i="1"/>
  <c r="R71" i="1"/>
  <c r="Q71" i="1"/>
  <c r="P71" i="1"/>
  <c r="O71" i="1"/>
  <c r="K71" i="1"/>
  <c r="J71" i="1"/>
  <c r="H71" i="1"/>
  <c r="G71" i="1"/>
  <c r="F71" i="1"/>
  <c r="E71" i="1"/>
  <c r="T68" i="1"/>
  <c r="S68" i="1"/>
  <c r="R68" i="1"/>
  <c r="Q68" i="1"/>
  <c r="P68" i="1"/>
  <c r="O68" i="1"/>
  <c r="K68" i="1"/>
  <c r="J68" i="1"/>
  <c r="H68" i="1"/>
  <c r="G68" i="1"/>
  <c r="F68" i="1"/>
  <c r="E68" i="1"/>
  <c r="A68" i="1"/>
  <c r="I68" i="1"/>
  <c r="T58" i="1"/>
  <c r="S58" i="1"/>
  <c r="R58" i="1"/>
  <c r="Q58" i="1"/>
  <c r="P58" i="1"/>
  <c r="O58" i="1"/>
  <c r="K58" i="1"/>
  <c r="J58" i="1"/>
  <c r="I58" i="1"/>
  <c r="H58" i="1"/>
  <c r="G58" i="1"/>
  <c r="F58" i="1"/>
  <c r="E58" i="1"/>
  <c r="A58" i="1"/>
  <c r="A48" i="1"/>
  <c r="P76" i="1"/>
  <c r="O76" i="1"/>
  <c r="G76" i="1"/>
  <c r="F76" i="1"/>
  <c r="E76" i="1"/>
  <c r="H73" i="1"/>
  <c r="F73" i="1"/>
  <c r="T48" i="1"/>
  <c r="S48" i="1"/>
  <c r="Q48" i="1"/>
  <c r="K48" i="1"/>
  <c r="J48" i="1"/>
  <c r="T35" i="1"/>
  <c r="S35" i="1"/>
  <c r="R35" i="1"/>
  <c r="Q35" i="1"/>
  <c r="P35" i="1"/>
  <c r="O35" i="1"/>
  <c r="K35" i="1"/>
  <c r="J35" i="1"/>
  <c r="I35" i="1"/>
  <c r="H35" i="1"/>
  <c r="G35" i="1"/>
  <c r="F35" i="1"/>
  <c r="E35" i="1"/>
  <c r="A35" i="1"/>
  <c r="A25" i="1"/>
  <c r="F80" i="1"/>
  <c r="Q75" i="1"/>
  <c r="O75" i="1"/>
  <c r="F75" i="1"/>
  <c r="E75" i="1"/>
  <c r="S25" i="1"/>
  <c r="R25" i="1"/>
  <c r="O25" i="1"/>
  <c r="K25" i="1"/>
  <c r="J25" i="1"/>
  <c r="H25" i="1"/>
  <c r="G25" i="1"/>
  <c r="T14" i="1"/>
  <c r="S14" i="1"/>
  <c r="R14" i="1"/>
  <c r="Q14" i="1"/>
  <c r="P14" i="1"/>
  <c r="O14" i="1"/>
  <c r="K14" i="1"/>
  <c r="J14" i="1"/>
  <c r="I14" i="1"/>
  <c r="H14" i="1"/>
  <c r="G14" i="1"/>
  <c r="F14" i="1"/>
  <c r="E14" i="1"/>
  <c r="A14" i="1"/>
  <c r="Q93" i="2" l="1"/>
  <c r="P115" i="2"/>
  <c r="Q126" i="2"/>
  <c r="Q115" i="2"/>
  <c r="P126" i="2"/>
  <c r="F27" i="2"/>
  <c r="P27" i="2"/>
  <c r="P48" i="1"/>
  <c r="O48" i="1"/>
  <c r="I71" i="1"/>
  <c r="E48" i="1"/>
  <c r="I48" i="1"/>
  <c r="F48" i="1"/>
  <c r="R72" i="1"/>
  <c r="E72" i="1"/>
  <c r="I72" i="1"/>
  <c r="F72" i="1"/>
  <c r="F82" i="1" s="1"/>
  <c r="G72" i="1"/>
  <c r="J72" i="1"/>
  <c r="J82" i="1" s="1"/>
  <c r="Q72" i="1"/>
  <c r="Q82" i="1" s="1"/>
  <c r="Q25" i="1"/>
  <c r="G48" i="1"/>
  <c r="K72" i="1"/>
  <c r="H48" i="1"/>
  <c r="R48" i="1"/>
  <c r="J128" i="2"/>
  <c r="J17" i="2"/>
  <c r="F17" i="2"/>
  <c r="F116" i="2"/>
  <c r="G126" i="2"/>
  <c r="G17" i="2"/>
  <c r="K126" i="2"/>
  <c r="K17" i="2"/>
  <c r="H17" i="2"/>
  <c r="Q57" i="2"/>
  <c r="Q123" i="2"/>
  <c r="Q17" i="2"/>
  <c r="H132" i="2"/>
  <c r="R132" i="2"/>
  <c r="I17" i="2"/>
  <c r="G118" i="2"/>
  <c r="G70" i="2"/>
  <c r="O132" i="2"/>
  <c r="O134" i="2" s="1"/>
  <c r="T132" i="2"/>
  <c r="G27" i="2"/>
  <c r="E116" i="2"/>
  <c r="I116" i="2"/>
  <c r="E126" i="2"/>
  <c r="S132" i="2"/>
  <c r="T25" i="1"/>
  <c r="T72" i="1"/>
  <c r="F25" i="1"/>
  <c r="S72" i="1"/>
  <c r="I25" i="1"/>
  <c r="R76" i="1"/>
  <c r="E25" i="1"/>
  <c r="P25" i="1"/>
  <c r="P72" i="1"/>
  <c r="O72" i="1"/>
  <c r="H72" i="1"/>
  <c r="R134" i="2" l="1"/>
  <c r="J132" i="2"/>
  <c r="J134" i="2" s="1"/>
  <c r="Q132" i="2"/>
  <c r="P132" i="2"/>
  <c r="P134" i="2" s="1"/>
  <c r="K132" i="2"/>
  <c r="H134" i="2"/>
  <c r="F84" i="1"/>
  <c r="I82" i="1"/>
  <c r="I84" i="1" s="1"/>
  <c r="K82" i="1"/>
  <c r="G82" i="1"/>
  <c r="G84" i="1" s="1"/>
  <c r="T82" i="1"/>
  <c r="T84" i="1" s="1"/>
  <c r="Q84" i="1"/>
  <c r="P82" i="1"/>
  <c r="P84" i="1" s="1"/>
  <c r="E82" i="1"/>
  <c r="I132" i="2"/>
  <c r="T134" i="2"/>
  <c r="G132" i="2"/>
  <c r="S134" i="2"/>
  <c r="F132" i="2"/>
  <c r="E132" i="2"/>
  <c r="E134" i="2" s="1"/>
  <c r="O82" i="1"/>
  <c r="S82" i="1"/>
  <c r="J84" i="1"/>
  <c r="H82" i="1"/>
  <c r="R82" i="1"/>
  <c r="Q134" i="2" l="1"/>
  <c r="K134" i="2"/>
  <c r="I134" i="2"/>
  <c r="K84" i="1"/>
  <c r="E84" i="1"/>
  <c r="F134" i="2"/>
  <c r="G134" i="2"/>
  <c r="H84" i="1"/>
  <c r="O84" i="1"/>
  <c r="R84" i="1"/>
  <c r="S84" i="1"/>
</calcChain>
</file>

<file path=xl/sharedStrings.xml><?xml version="1.0" encoding="utf-8"?>
<sst xmlns="http://schemas.openxmlformats.org/spreadsheetml/2006/main" count="184" uniqueCount="50">
  <si>
    <t>Budget</t>
  </si>
  <si>
    <t>Actual</t>
  </si>
  <si>
    <t>Cost Center/Expense Class</t>
  </si>
  <si>
    <t>PWD Direct O&amp;M</t>
  </si>
  <si>
    <t>Human Resources and Administration</t>
  </si>
  <si>
    <t>Transfers</t>
  </si>
  <si>
    <t>Finance</t>
  </si>
  <si>
    <t>2xx</t>
  </si>
  <si>
    <t>SMIP/GARP</t>
  </si>
  <si>
    <t>Planning and Engineering</t>
  </si>
  <si>
    <t>Operations</t>
  </si>
  <si>
    <t>Gas</t>
  </si>
  <si>
    <t>Chemicals</t>
  </si>
  <si>
    <t>Planning &amp; Environmental Services</t>
  </si>
  <si>
    <t>Public Affairs</t>
  </si>
  <si>
    <t>PWD Operating and Maintenance Expenses Summary</t>
  </si>
  <si>
    <t>Salaries &amp; Wages</t>
  </si>
  <si>
    <t>Services</t>
  </si>
  <si>
    <t>Power</t>
  </si>
  <si>
    <t>Materials and Supplies</t>
  </si>
  <si>
    <t>Equipment</t>
  </si>
  <si>
    <t>Indemnities</t>
  </si>
  <si>
    <t>CHECK</t>
  </si>
  <si>
    <t>PWD Inter Departmental O&amp;M</t>
  </si>
  <si>
    <t>Division of Technology</t>
  </si>
  <si>
    <t>Mayor's Office of Transportation &amp; Utilities and Office of Sustainability</t>
  </si>
  <si>
    <t>Philadelphia Water, Sewer and Stormwater Rate Board</t>
  </si>
  <si>
    <t>Public Property</t>
  </si>
  <si>
    <t>Fleet Management</t>
  </si>
  <si>
    <t>City Finance (020)</t>
  </si>
  <si>
    <t>1xx</t>
  </si>
  <si>
    <t>Pension</t>
  </si>
  <si>
    <t>Pension Obligations</t>
  </si>
  <si>
    <t>City Finance (270)</t>
  </si>
  <si>
    <t>1xx (270)</t>
  </si>
  <si>
    <t>Benefits (270)</t>
  </si>
  <si>
    <t>191 (270)</t>
  </si>
  <si>
    <t>Pension (270)</t>
  </si>
  <si>
    <t>190 (270)</t>
  </si>
  <si>
    <t>Pension Obligations (270)</t>
  </si>
  <si>
    <t>Revenue</t>
  </si>
  <si>
    <t>x</t>
  </si>
  <si>
    <t>Procurement</t>
  </si>
  <si>
    <t>Law</t>
  </si>
  <si>
    <t>PWD Inter Departmental Operating and Maintenance Expenses Summary</t>
  </si>
  <si>
    <t>Benefits</t>
  </si>
  <si>
    <t>Preliminary Final</t>
  </si>
  <si>
    <t xml:space="preserve">Obligations </t>
  </si>
  <si>
    <t xml:space="preserve">                                   -  </t>
  </si>
  <si>
    <t xml:space="preserve"> $                                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</si>
</sst>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_);_(* \(#,##0.0000\);_(* &quot;-&quot;??_);_(@_)"/>
    <numFmt numFmtId="167" formatCode="&quot;$&quot;#,##0\ ;\(&quot;$&quot;#,##0\)"/>
    <numFmt numFmtId="168" formatCode="m/d/yy;;"/>
    <numFmt numFmtId="169" formatCode="0&quot; days&quot;;;"/>
    <numFmt numFmtId="170" formatCode="0;;;"/>
    <numFmt numFmtId="171" formatCode="00000"/>
    <numFmt numFmtId="172" formatCode=";;;"/>
    <numFmt numFmtId="173" formatCode="#,##0.0000_);\(#,##0.0000\)"/>
    <numFmt numFmtId="174" formatCode="#,##0.00000000000;[Red]\-#,##0.00000000000"/>
    <numFmt numFmtId="175" formatCode="#,##0_);[Red]\(#,##0\);"/>
    <numFmt numFmtId="176" formatCode="0.00_)"/>
    <numFmt numFmtId="177" formatCode="0.00000_)"/>
    <numFmt numFmtId="178" formatCode="dd\-mmm\-yy_)"/>
    <numFmt numFmtId="179" formatCode="0%;;"/>
    <numFmt numFmtId="180" formatCode="#,##0.000_);[Red]\(#,##0.000\);"/>
    <numFmt numFmtId="181" formatCode="0_);\(0\)"/>
    <numFmt numFmtId="182" formatCode="0.000%;;"/>
    <numFmt numFmtId="183" formatCode="_(&quot;$&quot;* #,##0.0000_);_(&quot;$&quot;* \(#,##0.0000\);_(&quot;$&quot;* &quot;-&quot;????_);_(@_)"/>
    <numFmt numFmtId="184" formatCode="0.000000"/>
    <numFmt numFmtId="185" formatCode="General;;"/>
    <numFmt numFmtId="186" formatCode="&quot;$&quot;#,##0.00"/>
    <numFmt numFmtId="187" formatCode="0.00&quot; years&quot;;;"/>
    <numFmt numFmtId="188" formatCode="&quot;Yes&quot;;;&quot;No&quot;"/>
  </numFmts>
  <fonts count="113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 Black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 Black"/>
      <family val="2"/>
    </font>
    <font>
      <b/>
      <sz val="11"/>
      <name val="Calibri"/>
      <family val="2"/>
      <scheme val="minor"/>
    </font>
    <font>
      <b/>
      <sz val="11"/>
      <color theme="0"/>
      <name val="Arial Black"/>
      <family val="2"/>
    </font>
    <font>
      <sz val="11"/>
      <color rgb="FF0000FF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scheme val="minor"/>
    </font>
    <font>
      <b/>
      <sz val="11"/>
      <color indexed="9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sz val="11"/>
      <color theme="1"/>
      <name val="Cambria"/>
      <family val="2"/>
    </font>
    <font>
      <sz val="12"/>
      <name val="Arial"/>
      <family val="2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color theme="1"/>
      <name val="Arial"/>
      <family val="2"/>
    </font>
    <font>
      <sz val="12"/>
      <name val="Helv"/>
    </font>
    <font>
      <sz val="8"/>
      <color indexed="62"/>
      <name val="Times New Roman"/>
      <family val="1"/>
    </font>
    <font>
      <i/>
      <sz val="11"/>
      <color indexed="23"/>
      <name val="Calibri"/>
      <family val="2"/>
    </font>
    <font>
      <sz val="8"/>
      <color indexed="21"/>
      <name val="Times New Roman"/>
      <family val="1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</font>
    <font>
      <b/>
      <sz val="13"/>
      <color indexed="56"/>
      <name val="Calibri"/>
      <family val="2"/>
      <scheme val="minor"/>
    </font>
    <font>
      <b/>
      <sz val="11"/>
      <color indexed="56"/>
      <name val="Calibri"/>
      <family val="2"/>
    </font>
    <font>
      <b/>
      <sz val="11"/>
      <color indexed="56"/>
      <name val="Calibri"/>
      <family val="2"/>
      <scheme val="minor"/>
    </font>
    <font>
      <b/>
      <sz val="8"/>
      <name val="Arial"/>
      <family val="2"/>
    </font>
    <font>
      <b/>
      <sz val="10"/>
      <color indexed="8"/>
      <name val="Arial"/>
      <family val="2"/>
    </font>
    <font>
      <sz val="10"/>
      <color indexed="9"/>
      <name val="Times New Roman"/>
      <family val="1"/>
    </font>
    <font>
      <i/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indexed="12"/>
      <name val="Courier"/>
      <family val="3"/>
    </font>
    <font>
      <u/>
      <sz val="10"/>
      <color indexed="12"/>
      <name val="Times New Roman"/>
      <family val="1"/>
    </font>
    <font>
      <u/>
      <sz val="11"/>
      <color theme="10"/>
      <name val="Calibri"/>
      <family val="2"/>
      <scheme val="minor"/>
    </font>
    <font>
      <shadow/>
      <sz val="10"/>
      <color indexed="12"/>
      <name val="Times New Roman"/>
      <family val="1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i/>
      <shadow/>
      <sz val="12"/>
      <color indexed="12"/>
      <name val="Arial"/>
      <family val="2"/>
    </font>
    <font>
      <sz val="8"/>
      <color indexed="57"/>
      <name val="Times New Roman"/>
      <family val="1"/>
    </font>
    <font>
      <sz val="11"/>
      <color indexed="52"/>
      <name val="Calibri"/>
      <family val="2"/>
    </font>
    <font>
      <sz val="11"/>
      <color indexed="52"/>
      <name val="Calibri"/>
      <family val="2"/>
      <scheme val="minor"/>
    </font>
    <font>
      <sz val="10"/>
      <color theme="1"/>
      <name val="Times New Roman"/>
      <family val="1"/>
    </font>
    <font>
      <sz val="10"/>
      <color indexed="12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color indexed="12"/>
      <name val="Times New Roman"/>
      <family val="1"/>
    </font>
    <font>
      <b/>
      <sz val="12"/>
      <color indexed="9"/>
      <name val="Arial"/>
      <family val="2"/>
    </font>
    <font>
      <sz val="12"/>
      <color indexed="10"/>
      <name val="Times New Roman"/>
      <family val="1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hadow/>
      <sz val="10"/>
      <color indexed="16"/>
      <name val="Times New Roman"/>
      <family val="1"/>
    </font>
    <font>
      <i/>
      <shadow/>
      <sz val="10"/>
      <color indexed="14"/>
      <name val="Times New Roman"/>
      <family val="1"/>
    </font>
    <font>
      <sz val="10"/>
      <color indexed="16"/>
      <name val="Times New Roman"/>
      <family val="1"/>
    </font>
    <font>
      <sz val="11"/>
      <color indexed="60"/>
      <name val="Calibri"/>
      <family val="2"/>
    </font>
    <font>
      <sz val="11"/>
      <color indexed="60"/>
      <name val="Calibri"/>
      <family val="2"/>
      <scheme val="minor"/>
    </font>
    <font>
      <sz val="12"/>
      <name val="Arial MT"/>
    </font>
    <font>
      <sz val="10"/>
      <name val="Courier"/>
      <family val="3"/>
    </font>
    <font>
      <sz val="10"/>
      <name val="Tms Rmn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MS Sans Serif"/>
      <family val="2"/>
    </font>
    <font>
      <b/>
      <sz val="10"/>
      <color indexed="8"/>
      <name val="Times New Roman"/>
      <family val="1"/>
    </font>
    <font>
      <b/>
      <sz val="10"/>
      <color indexed="18"/>
      <name val="Times New Roman"/>
      <family val="1"/>
    </font>
    <font>
      <sz val="8"/>
      <color indexed="8"/>
      <name val="Times New Roman"/>
      <family val="1"/>
    </font>
    <font>
      <b/>
      <sz val="10"/>
      <name val="Helv"/>
    </font>
    <font>
      <b/>
      <i/>
      <sz val="10"/>
      <name val="Helv"/>
    </font>
    <font>
      <i/>
      <sz val="10"/>
      <name val="Helv"/>
    </font>
    <font>
      <b/>
      <i/>
      <sz val="10"/>
      <name val="Arial"/>
      <family val="2"/>
    </font>
    <font>
      <i/>
      <sz val="10"/>
      <name val="Arial"/>
      <family val="2"/>
    </font>
    <font>
      <shadow/>
      <sz val="10"/>
      <color theme="1"/>
      <name val="Times New Roman"/>
      <family val="1"/>
    </font>
    <font>
      <b/>
      <i/>
      <sz val="10"/>
      <name val="Times New Roman"/>
      <family val="1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scheme val="major"/>
    </font>
    <font>
      <b/>
      <sz val="14"/>
      <color indexed="8"/>
      <name val="Arial"/>
      <family val="2"/>
    </font>
    <font>
      <b/>
      <sz val="12"/>
      <color indexed="60"/>
      <name val="Arial"/>
      <family val="2"/>
    </font>
    <font>
      <b/>
      <sz val="14"/>
      <color indexed="56"/>
      <name val="Arial"/>
      <family val="2"/>
    </font>
    <font>
      <b/>
      <sz val="11"/>
      <color indexed="8"/>
      <name val="Calibri"/>
      <family val="2"/>
    </font>
    <font>
      <sz val="10"/>
      <color indexed="23"/>
      <name val="Times New Roman"/>
      <family val="1"/>
    </font>
    <font>
      <sz val="11"/>
      <color indexed="10"/>
      <name val="Calibri"/>
      <family val="2"/>
    </font>
  </fonts>
  <fills count="8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43"/>
      </patternFill>
    </fill>
    <fill>
      <patternFill patternType="solid">
        <fgColor indexed="26"/>
        <bgColor indexed="42"/>
      </patternFill>
    </fill>
    <fill>
      <patternFill patternType="solid">
        <fgColor indexed="26"/>
        <bgColor indexed="64"/>
      </patternFill>
    </fill>
    <fill>
      <patternFill patternType="solid">
        <fgColor rgb="FFFFCCFF"/>
        <bgColor indexed="8"/>
      </patternFill>
    </fill>
    <fill>
      <patternFill patternType="solid">
        <fgColor indexed="45"/>
        <bgColor indexed="64"/>
      </patternFill>
    </fill>
    <fill>
      <patternFill patternType="gray0625">
        <fgColor indexed="8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9"/>
      </patternFill>
    </fill>
    <fill>
      <patternFill patternType="solid">
        <fgColor rgb="FFDDF2FF"/>
        <bgColor indexed="11"/>
      </patternFill>
    </fill>
    <fill>
      <patternFill patternType="solid">
        <fgColor indexed="31"/>
        <bgColor indexed="46"/>
      </patternFill>
    </fill>
    <fill>
      <patternFill patternType="solid">
        <fgColor indexed="43"/>
      </patternFill>
    </fill>
    <fill>
      <patternFill patternType="solid">
        <fgColor theme="0"/>
      </patternFill>
    </fill>
    <fill>
      <patternFill patternType="solid">
        <fgColor theme="1"/>
      </patternFill>
    </fill>
    <fill>
      <patternFill patternType="solid">
        <fgColor indexed="26"/>
      </patternFill>
    </fill>
    <fill>
      <patternFill patternType="solid">
        <fgColor indexed="8"/>
      </patternFill>
    </fill>
    <fill>
      <patternFill patternType="lightGray">
        <fgColor indexed="8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47"/>
      </patternFill>
    </fill>
    <fill>
      <patternFill patternType="solid">
        <fgColor indexed="3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theme="0"/>
      </left>
      <right style="thick">
        <color theme="0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theme="0"/>
      </left>
      <right style="thick">
        <color theme="0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29">
    <xf numFmtId="0" fontId="0" fillId="0" borderId="0"/>
    <xf numFmtId="0" fontId="5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10" borderId="0" applyNumberFormat="0" applyBorder="0" applyAlignment="0" applyProtection="0"/>
    <xf numFmtId="0" fontId="29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29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29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29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29" fillId="39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29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29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29" fillId="43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29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29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29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42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29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45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30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12" borderId="0" applyNumberFormat="0" applyBorder="0" applyAlignment="0" applyProtection="0"/>
    <xf numFmtId="0" fontId="30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16" borderId="0" applyNumberFormat="0" applyBorder="0" applyAlignment="0" applyProtection="0"/>
    <xf numFmtId="0" fontId="30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20" borderId="0" applyNumberFormat="0" applyBorder="0" applyAlignment="0" applyProtection="0"/>
    <xf numFmtId="0" fontId="30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24" borderId="0" applyNumberFormat="0" applyBorder="0" applyAlignment="0" applyProtection="0"/>
    <xf numFmtId="0" fontId="30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28" borderId="0" applyNumberFormat="0" applyBorder="0" applyAlignment="0" applyProtection="0"/>
    <xf numFmtId="0" fontId="30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32" borderId="0" applyNumberFormat="0" applyBorder="0" applyAlignment="0" applyProtection="0"/>
    <xf numFmtId="0" fontId="30" fillId="50" borderId="0" applyNumberFormat="0" applyBorder="0" applyAlignment="0" applyProtection="0"/>
    <xf numFmtId="0" fontId="21" fillId="50" borderId="0" applyNumberFormat="0" applyBorder="0" applyAlignment="0" applyProtection="0"/>
    <xf numFmtId="0" fontId="21" fillId="9" borderId="0" applyNumberFormat="0" applyBorder="0" applyAlignment="0" applyProtection="0"/>
    <xf numFmtId="0" fontId="30" fillId="51" borderId="0" applyNumberFormat="0" applyBorder="0" applyAlignment="0" applyProtection="0"/>
    <xf numFmtId="0" fontId="21" fillId="51" borderId="0" applyNumberFormat="0" applyBorder="0" applyAlignment="0" applyProtection="0"/>
    <xf numFmtId="0" fontId="21" fillId="13" borderId="0" applyNumberFormat="0" applyBorder="0" applyAlignment="0" applyProtection="0"/>
    <xf numFmtId="0" fontId="30" fillId="52" borderId="0" applyNumberFormat="0" applyBorder="0" applyAlignment="0" applyProtection="0"/>
    <xf numFmtId="0" fontId="21" fillId="52" borderId="0" applyNumberFormat="0" applyBorder="0" applyAlignment="0" applyProtection="0"/>
    <xf numFmtId="0" fontId="21" fillId="17" borderId="0" applyNumberFormat="0" applyBorder="0" applyAlignment="0" applyProtection="0"/>
    <xf numFmtId="0" fontId="30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21" borderId="0" applyNumberFormat="0" applyBorder="0" applyAlignment="0" applyProtection="0"/>
    <xf numFmtId="0" fontId="30" fillId="48" borderId="0" applyNumberFormat="0" applyBorder="0" applyAlignment="0" applyProtection="0"/>
    <xf numFmtId="0" fontId="21" fillId="25" borderId="0" applyNumberFormat="0" applyBorder="0" applyAlignment="0" applyProtection="0"/>
    <xf numFmtId="0" fontId="30" fillId="53" borderId="0" applyNumberFormat="0" applyBorder="0" applyAlignment="0" applyProtection="0"/>
    <xf numFmtId="0" fontId="21" fillId="53" borderId="0" applyNumberFormat="0" applyBorder="0" applyAlignment="0" applyProtection="0"/>
    <xf numFmtId="0" fontId="21" fillId="29" borderId="0" applyNumberFormat="0" applyBorder="0" applyAlignment="0" applyProtection="0"/>
    <xf numFmtId="0" fontId="3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" borderId="0" applyNumberFormat="0" applyBorder="0" applyAlignment="0" applyProtection="0"/>
    <xf numFmtId="0" fontId="32" fillId="41" borderId="15" applyNumberFormat="0" applyAlignment="0" applyProtection="0"/>
    <xf numFmtId="0" fontId="33" fillId="41" borderId="4" applyNumberFormat="0" applyAlignment="0" applyProtection="0"/>
    <xf numFmtId="0" fontId="15" fillId="6" borderId="4" applyNumberFormat="0" applyAlignment="0" applyProtection="0"/>
    <xf numFmtId="0" fontId="34" fillId="54" borderId="16" applyNumberFormat="0" applyAlignment="0" applyProtection="0"/>
    <xf numFmtId="0" fontId="17" fillId="7" borderId="7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38" fillId="0" borderId="0" applyFont="0" applyFill="0" applyBorder="0" applyAlignment="0" applyProtection="0"/>
    <xf numFmtId="0" fontId="44" fillId="0" borderId="0"/>
    <xf numFmtId="0" fontId="44" fillId="0" borderId="0"/>
    <xf numFmtId="0" fontId="44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36" fillId="0" borderId="0" applyFont="0" applyFill="0" applyBorder="0" applyAlignment="0" applyProtection="0"/>
    <xf numFmtId="168" fontId="42" fillId="0" borderId="0" applyFont="0" applyFill="0" applyBorder="0" applyAlignment="0" applyProtection="0"/>
    <xf numFmtId="169" fontId="45" fillId="0" borderId="0" applyFont="0" applyFill="0" applyBorder="0" applyAlignment="0" applyProtection="0">
      <protection locked="0"/>
    </xf>
    <xf numFmtId="170" fontId="42" fillId="0" borderId="0" applyFont="0" applyFill="0" applyBorder="0" applyAlignment="0" applyProtection="0"/>
    <xf numFmtId="171" fontId="36" fillId="0" borderId="0"/>
    <xf numFmtId="0" fontId="36" fillId="0" borderId="0"/>
    <xf numFmtId="0" fontId="4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" fontId="38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2" borderId="0" applyNumberFormat="0" applyBorder="0" applyAlignment="0" applyProtection="0"/>
    <xf numFmtId="38" fontId="49" fillId="55" borderId="0" applyNumberFormat="0" applyBorder="0" applyAlignment="0" applyProtection="0"/>
    <xf numFmtId="0" fontId="50" fillId="0" borderId="17" applyNumberFormat="0" applyFill="0" applyAlignment="0" applyProtection="0"/>
    <xf numFmtId="0" fontId="51" fillId="0" borderId="17" applyNumberFormat="0" applyFill="0" applyAlignment="0" applyProtection="0"/>
    <xf numFmtId="0" fontId="7" fillId="0" borderId="1" applyNumberFormat="0" applyFill="0" applyAlignment="0" applyProtection="0"/>
    <xf numFmtId="0" fontId="52" fillId="0" borderId="18" applyNumberFormat="0" applyFill="0" applyAlignment="0" applyProtection="0"/>
    <xf numFmtId="0" fontId="53" fillId="0" borderId="18" applyNumberFormat="0" applyFill="0" applyAlignment="0" applyProtection="0"/>
    <xf numFmtId="0" fontId="8" fillId="0" borderId="2" applyNumberFormat="0" applyFill="0" applyAlignment="0" applyProtection="0"/>
    <xf numFmtId="0" fontId="54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9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38" fontId="56" fillId="0" borderId="0"/>
    <xf numFmtId="40" fontId="56" fillId="0" borderId="0"/>
    <xf numFmtId="0" fontId="57" fillId="0" borderId="0">
      <alignment horizontal="left"/>
    </xf>
    <xf numFmtId="3" fontId="58" fillId="0" borderId="0" applyNumberFormat="0" applyFill="0" applyBorder="0" applyAlignment="0" applyProtection="0"/>
    <xf numFmtId="172" fontId="59" fillId="0" borderId="20" applyFont="0" applyFill="0" applyBorder="0" applyAlignment="0"/>
    <xf numFmtId="38" fontId="58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  <xf numFmtId="10" fontId="49" fillId="56" borderId="21" applyNumberFormat="0" applyBorder="0" applyAlignment="0" applyProtection="0"/>
    <xf numFmtId="0" fontId="13" fillId="5" borderId="4" applyNumberFormat="0" applyAlignment="0" applyProtection="0"/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0" fontId="13" fillId="5" borderId="4" applyNumberFormat="0" applyAlignment="0" applyProtection="0"/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40" borderId="0" applyNumberFormat="0" applyAlignment="0">
      <protection locked="0"/>
    </xf>
    <xf numFmtId="37" fontId="64" fillId="40" borderId="0" applyNumberFormat="0" applyAlignment="0">
      <protection locked="0"/>
    </xf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65" fillId="40" borderId="15" applyNumberFormat="0" applyAlignment="0" applyProtection="0"/>
    <xf numFmtId="39" fontId="66" fillId="0" borderId="0" applyNumberFormat="0" applyBorder="0" applyAlignment="0">
      <protection locked="0"/>
    </xf>
    <xf numFmtId="0" fontId="13" fillId="41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3" fontId="64" fillId="58" borderId="22" applyBorder="0">
      <alignment vertical="center"/>
      <protection locked="0"/>
    </xf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0" fontId="13" fillId="5" borderId="4" applyNumberFormat="0" applyAlignment="0" applyProtection="0"/>
    <xf numFmtId="3" fontId="64" fillId="58" borderId="22" applyBorder="0">
      <alignment vertical="center"/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0" fontId="13" fillId="5" borderId="4" applyNumberFormat="0" applyAlignment="0" applyProtection="0"/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0" fontId="13" fillId="5" borderId="4" applyNumberFormat="0" applyAlignment="0" applyProtection="0"/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0" fontId="13" fillId="5" borderId="4" applyNumberFormat="0" applyAlignment="0" applyProtection="0"/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7" fillId="59" borderId="0" applyNumberFormat="0" applyBorder="0" applyAlignment="0">
      <protection locked="0"/>
    </xf>
    <xf numFmtId="37" fontId="67" fillId="59" borderId="0" applyNumberFormat="0" applyBorder="0" applyAlignment="0">
      <protection locked="0"/>
    </xf>
    <xf numFmtId="37" fontId="67" fillId="59" borderId="0" applyNumberFormat="0" applyBorder="0" applyAlignment="0">
      <protection locked="0"/>
    </xf>
    <xf numFmtId="37" fontId="67" fillId="59" borderId="0" applyNumberFormat="0" applyBorder="0" applyAlignment="0">
      <protection locked="0"/>
    </xf>
    <xf numFmtId="37" fontId="67" fillId="59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37" fontId="64" fillId="57" borderId="0" applyNumberFormat="0" applyBorder="0" applyAlignment="0">
      <protection locked="0"/>
    </xf>
    <xf numFmtId="0" fontId="13" fillId="33" borderId="0" applyNumberFormat="0" applyAlignment="0">
      <protection locked="0"/>
    </xf>
    <xf numFmtId="0" fontId="13" fillId="5" borderId="4" applyNumberFormat="0" applyAlignment="0" applyProtection="0"/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5" borderId="4" applyNumberFormat="0" applyAlignment="0" applyProtection="0"/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0" fontId="13" fillId="33" borderId="0" applyNumberFormat="0" applyAlignment="0">
      <protection locked="0"/>
    </xf>
    <xf numFmtId="1" fontId="64" fillId="60" borderId="0">
      <alignment horizontal="center"/>
      <protection locked="0"/>
    </xf>
    <xf numFmtId="1" fontId="68" fillId="0" borderId="12" applyFont="0" applyFill="0" applyBorder="0" applyAlignment="0" applyProtection="0"/>
    <xf numFmtId="0" fontId="69" fillId="0" borderId="23" applyNumberFormat="0" applyFill="0" applyAlignment="0" applyProtection="0"/>
    <xf numFmtId="0" fontId="70" fillId="0" borderId="23" applyNumberFormat="0" applyFill="0" applyAlignment="0" applyProtection="0"/>
    <xf numFmtId="0" fontId="16" fillId="0" borderId="6" applyNumberFormat="0" applyFill="0" applyAlignment="0" applyProtection="0"/>
    <xf numFmtId="37" fontId="71" fillId="61" borderId="0" applyNumberFormat="0" applyAlignment="0"/>
    <xf numFmtId="10" fontId="72" fillId="34" borderId="0" applyNumberFormat="0" applyBorder="0" applyAlignment="0" applyProtection="0">
      <alignment horizontal="right"/>
      <protection locked="0"/>
    </xf>
    <xf numFmtId="37" fontId="73" fillId="62" borderId="0" applyNumberFormat="0" applyAlignment="0"/>
    <xf numFmtId="173" fontId="74" fillId="63" borderId="24"/>
    <xf numFmtId="0" fontId="75" fillId="0" borderId="0" applyNumberFormat="0" applyBorder="0" applyAlignment="0" applyProtection="0"/>
    <xf numFmtId="0" fontId="75" fillId="0" borderId="0" applyNumberFormat="0" applyBorder="0" applyAlignment="0" applyProtection="0"/>
    <xf numFmtId="0" fontId="35" fillId="0" borderId="0" applyNumberFormat="0" applyBorder="0" applyAlignment="0" applyProtection="0"/>
    <xf numFmtId="0" fontId="35" fillId="0" borderId="0" applyNumberFormat="0" applyBorder="0" applyAlignment="0" applyProtection="0"/>
    <xf numFmtId="0" fontId="76" fillId="64" borderId="0" applyNumberFormat="0" applyBorder="0" applyAlignment="0" applyProtection="0"/>
    <xf numFmtId="0" fontId="77" fillId="60" borderId="0" applyNumberFormat="0" applyBorder="0" applyAlignment="0" applyProtection="0"/>
    <xf numFmtId="0" fontId="78" fillId="0" borderId="25" applyNumberFormat="0" applyBorder="0">
      <alignment horizontal="center"/>
    </xf>
    <xf numFmtId="0" fontId="79" fillId="56" borderId="0" applyNumberFormat="0" applyBorder="0" applyAlignment="0" applyProtection="0"/>
    <xf numFmtId="0" fontId="79" fillId="65" borderId="26" applyNumberFormat="0" applyBorder="0" applyAlignment="0" applyProtection="0"/>
    <xf numFmtId="44" fontId="80" fillId="0" borderId="27" applyNumberFormat="0" applyFont="0" applyAlignment="0">
      <alignment horizontal="center"/>
    </xf>
    <xf numFmtId="44" fontId="80" fillId="0" borderId="28" applyNumberFormat="0" applyFont="0" applyAlignment="0">
      <alignment horizontal="center"/>
    </xf>
    <xf numFmtId="0" fontId="81" fillId="0" borderId="0"/>
    <xf numFmtId="0" fontId="82" fillId="66" borderId="0"/>
    <xf numFmtId="0" fontId="81" fillId="0" borderId="0"/>
    <xf numFmtId="37" fontId="83" fillId="67" borderId="0" applyNumberFormat="0" applyAlignment="0"/>
    <xf numFmtId="38" fontId="81" fillId="68" borderId="0" applyNumberFormat="0" applyAlignment="0"/>
    <xf numFmtId="0" fontId="84" fillId="69" borderId="0" applyNumberFormat="0" applyBorder="0" applyAlignment="0" applyProtection="0"/>
    <xf numFmtId="0" fontId="85" fillId="4" borderId="0" applyNumberFormat="0" applyBorder="0" applyAlignment="0" applyProtection="0"/>
    <xf numFmtId="0" fontId="12" fillId="4" borderId="0" applyNumberFormat="0" applyBorder="0" applyAlignment="0" applyProtection="0"/>
    <xf numFmtId="174" fontId="36" fillId="0" borderId="0"/>
    <xf numFmtId="175" fontId="42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4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176" fontId="8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9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7" fillId="0" borderId="0"/>
    <xf numFmtId="0" fontId="36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42" fillId="0" borderId="0"/>
    <xf numFmtId="37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176" fontId="86" fillId="0" borderId="0"/>
    <xf numFmtId="176" fontId="86" fillId="0" borderId="0"/>
    <xf numFmtId="176" fontId="8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176" fontId="86" fillId="0" borderId="0"/>
    <xf numFmtId="0" fontId="38" fillId="0" borderId="0"/>
    <xf numFmtId="0" fontId="36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1" fillId="0" borderId="0"/>
    <xf numFmtId="0" fontId="4" fillId="0" borderId="0"/>
    <xf numFmtId="177" fontId="87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0" fontId="36" fillId="0" borderId="0"/>
    <xf numFmtId="0" fontId="38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37" fontId="38" fillId="0" borderId="0" applyFill="0" applyBorder="0" applyAlignment="0"/>
    <xf numFmtId="37" fontId="38" fillId="0" borderId="0" applyFill="0" applyBorder="0" applyAlignment="0"/>
    <xf numFmtId="37" fontId="38" fillId="0" borderId="0" applyFill="0" applyBorder="0" applyAlignment="0"/>
    <xf numFmtId="37" fontId="38" fillId="0" borderId="0" applyFill="0" applyBorder="0" applyAlignment="0"/>
    <xf numFmtId="0" fontId="36" fillId="0" borderId="0"/>
    <xf numFmtId="0" fontId="38" fillId="0" borderId="0"/>
    <xf numFmtId="37" fontId="38" fillId="0" borderId="0" applyFill="0" applyBorder="0" applyAlignment="0"/>
    <xf numFmtId="38" fontId="41" fillId="0" borderId="0"/>
    <xf numFmtId="38" fontId="41" fillId="0" borderId="0"/>
    <xf numFmtId="0" fontId="23" fillId="70" borderId="0"/>
    <xf numFmtId="0" fontId="23" fillId="71" borderId="0"/>
    <xf numFmtId="38" fontId="41" fillId="0" borderId="0"/>
    <xf numFmtId="38" fontId="41" fillId="0" borderId="0"/>
    <xf numFmtId="38" fontId="41" fillId="0" borderId="0"/>
    <xf numFmtId="38" fontId="41" fillId="0" borderId="0"/>
    <xf numFmtId="38" fontId="41" fillId="0" borderId="0"/>
    <xf numFmtId="0" fontId="36" fillId="0" borderId="0"/>
    <xf numFmtId="0" fontId="38" fillId="0" borderId="0"/>
    <xf numFmtId="0" fontId="23" fillId="0" borderId="0"/>
    <xf numFmtId="38" fontId="41" fillId="0" borderId="0"/>
    <xf numFmtId="38" fontId="4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8" fillId="0" borderId="0"/>
    <xf numFmtId="0" fontId="23" fillId="0" borderId="0"/>
    <xf numFmtId="0" fontId="36" fillId="0" borderId="0"/>
    <xf numFmtId="38" fontId="41" fillId="0" borderId="0"/>
    <xf numFmtId="38" fontId="4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6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8" fillId="0" borderId="0"/>
    <xf numFmtId="0" fontId="36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4" fillId="0" borderId="0"/>
    <xf numFmtId="7" fontId="8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38" fillId="0" borderId="0"/>
    <xf numFmtId="0" fontId="36" fillId="0" borderId="0"/>
    <xf numFmtId="0" fontId="38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36" fillId="0" borderId="0"/>
    <xf numFmtId="0" fontId="88" fillId="0" borderId="0"/>
    <xf numFmtId="0" fontId="36" fillId="0" borderId="0"/>
    <xf numFmtId="37" fontId="38" fillId="0" borderId="0" applyFill="0" applyBorder="0" applyAlignment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178" fontId="8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6" fontId="8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6" fillId="72" borderId="22" applyNumberFormat="0" applyFont="0" applyAlignment="0" applyProtection="0"/>
    <xf numFmtId="0" fontId="29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38" fontId="41" fillId="0" borderId="0" applyFont="0" applyFill="0" applyBorder="0" applyProtection="0"/>
    <xf numFmtId="38" fontId="41" fillId="0" borderId="0" applyFont="0" applyFill="0" applyBorder="0" applyProtection="0"/>
    <xf numFmtId="38" fontId="41" fillId="0" borderId="0" applyFont="0" applyFill="0" applyBorder="0" applyProtection="0"/>
    <xf numFmtId="0" fontId="89" fillId="41" borderId="29" applyNumberFormat="0" applyAlignment="0" applyProtection="0"/>
    <xf numFmtId="0" fontId="14" fillId="41" borderId="5" applyNumberFormat="0" applyAlignment="0" applyProtection="0"/>
    <xf numFmtId="0" fontId="14" fillId="6" borderId="5" applyNumberFormat="0" applyAlignment="0" applyProtection="0"/>
    <xf numFmtId="40" fontId="90" fillId="56" borderId="0">
      <alignment horizontal="right"/>
    </xf>
    <xf numFmtId="0" fontId="91" fillId="56" borderId="0">
      <alignment horizontal="right"/>
    </xf>
    <xf numFmtId="0" fontId="92" fillId="56" borderId="26"/>
    <xf numFmtId="0" fontId="92" fillId="0" borderId="0" applyBorder="0">
      <alignment horizontal="centerContinuous"/>
    </xf>
    <xf numFmtId="0" fontId="93" fillId="0" borderId="0" applyBorder="0">
      <alignment horizontal="centerContinuous"/>
    </xf>
    <xf numFmtId="0" fontId="44" fillId="0" borderId="0"/>
    <xf numFmtId="0" fontId="44" fillId="0" borderId="0"/>
    <xf numFmtId="10" fontId="36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179" fontId="4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1" fillId="0" borderId="0" applyFont="0" applyFill="0" applyBorder="0" applyAlignment="0" applyProtection="0"/>
    <xf numFmtId="180" fontId="45" fillId="0" borderId="30" applyFont="0" applyFill="0" applyBorder="0" applyAlignment="0" applyProtection="0">
      <protection locked="0"/>
    </xf>
    <xf numFmtId="0" fontId="94" fillId="0" borderId="0" applyNumberFormat="0" applyFont="0" applyFill="0" applyBorder="0" applyAlignment="0" applyProtection="0">
      <alignment horizontal="left"/>
    </xf>
    <xf numFmtId="37" fontId="95" fillId="72" borderId="31">
      <alignment horizontal="left" vertical="center"/>
      <protection locked="0"/>
    </xf>
    <xf numFmtId="181" fontId="95" fillId="72" borderId="31">
      <alignment horizontal="left" vertical="center"/>
    </xf>
    <xf numFmtId="37" fontId="95" fillId="35" borderId="31">
      <alignment horizontal="left" vertical="center"/>
      <protection locked="0"/>
    </xf>
    <xf numFmtId="37" fontId="95" fillId="72" borderId="32" applyAlignment="0">
      <alignment horizontal="left" vertical="center"/>
      <protection locked="0"/>
    </xf>
    <xf numFmtId="37" fontId="96" fillId="69" borderId="33" applyBorder="0" applyAlignment="0">
      <alignment horizontal="left" vertical="center"/>
      <protection locked="0"/>
    </xf>
    <xf numFmtId="37" fontId="95" fillId="42" borderId="32" applyAlignment="0">
      <alignment horizontal="left" vertical="center"/>
      <protection locked="0"/>
    </xf>
    <xf numFmtId="37" fontId="95" fillId="72" borderId="32" applyAlignment="0">
      <alignment horizontal="left" vertical="center"/>
      <protection locked="0"/>
    </xf>
    <xf numFmtId="37" fontId="95" fillId="35" borderId="32" applyAlignment="0">
      <alignment horizontal="left" vertical="center"/>
      <protection locked="0"/>
    </xf>
    <xf numFmtId="37" fontId="95" fillId="72" borderId="32" applyAlignment="0">
      <alignment horizontal="left" vertical="center"/>
      <protection locked="0"/>
    </xf>
    <xf numFmtId="37" fontId="96" fillId="69" borderId="31">
      <alignment horizontal="left" vertical="center"/>
    </xf>
    <xf numFmtId="37" fontId="95" fillId="42" borderId="31">
      <alignment horizontal="left" vertical="center"/>
      <protection locked="0"/>
    </xf>
    <xf numFmtId="181" fontId="95" fillId="72" borderId="31">
      <alignment horizontal="left" vertical="center"/>
    </xf>
    <xf numFmtId="181" fontId="95" fillId="72" borderId="31">
      <alignment horizontal="left" vertical="center"/>
    </xf>
    <xf numFmtId="181" fontId="95" fillId="72" borderId="31">
      <alignment horizontal="left" vertical="center"/>
    </xf>
    <xf numFmtId="181" fontId="95" fillId="72" borderId="31">
      <alignment horizontal="left" vertical="center"/>
    </xf>
    <xf numFmtId="181" fontId="95" fillId="72" borderId="31">
      <alignment horizontal="left" vertical="center"/>
    </xf>
    <xf numFmtId="37" fontId="95" fillId="72" borderId="31">
      <alignment horizontal="left" vertical="center"/>
      <protection locked="0"/>
    </xf>
    <xf numFmtId="182" fontId="42" fillId="0" borderId="20" applyFont="0" applyFill="0" applyBorder="0" applyAlignment="0" applyProtection="0"/>
    <xf numFmtId="182" fontId="42" fillId="0" borderId="20" applyFont="0" applyFill="0" applyBorder="0" applyAlignment="0" applyProtection="0"/>
    <xf numFmtId="37" fontId="97" fillId="0" borderId="0">
      <alignment horizontal="center"/>
    </xf>
    <xf numFmtId="0" fontId="97" fillId="0" borderId="0" applyNumberFormat="0" applyFill="0" applyBorder="0" applyAlignment="0" applyProtection="0"/>
    <xf numFmtId="39" fontId="97" fillId="0" borderId="0">
      <alignment horizontal="center"/>
    </xf>
    <xf numFmtId="42" fontId="36" fillId="56" borderId="0"/>
    <xf numFmtId="0" fontId="44" fillId="73" borderId="0"/>
    <xf numFmtId="0" fontId="98" fillId="73" borderId="34"/>
    <xf numFmtId="0" fontId="99" fillId="74" borderId="35"/>
    <xf numFmtId="0" fontId="100" fillId="73" borderId="36"/>
    <xf numFmtId="42" fontId="101" fillId="75" borderId="37">
      <alignment vertical="center"/>
    </xf>
    <xf numFmtId="0" fontId="80" fillId="56" borderId="12" applyNumberFormat="0">
      <alignment horizontal="center" vertical="center" wrapText="1"/>
    </xf>
    <xf numFmtId="183" fontId="36" fillId="56" borderId="0"/>
    <xf numFmtId="42" fontId="36" fillId="56" borderId="0"/>
    <xf numFmtId="42" fontId="102" fillId="56" borderId="11">
      <alignment horizontal="left"/>
    </xf>
    <xf numFmtId="0" fontId="42" fillId="76" borderId="0" applyNumberFormat="0" applyBorder="0" applyAlignment="0" applyProtection="0"/>
    <xf numFmtId="37" fontId="103" fillId="0" borderId="0" applyNumberFormat="0" applyAlignment="0" applyProtection="0">
      <protection locked="0"/>
    </xf>
    <xf numFmtId="37" fontId="64" fillId="77" borderId="0" applyNumberFormat="0" applyAlignment="0" applyProtection="0">
      <protection locked="0"/>
    </xf>
    <xf numFmtId="2" fontId="72" fillId="78" borderId="0" applyNumberFormat="0" applyBorder="0" applyAlignment="0" applyProtection="0"/>
    <xf numFmtId="0" fontId="104" fillId="55" borderId="0" applyNumberFormat="0" applyFont="0" applyBorder="0" applyAlignment="0" applyProtection="0"/>
    <xf numFmtId="38" fontId="49" fillId="0" borderId="38"/>
    <xf numFmtId="38" fontId="56" fillId="0" borderId="11"/>
    <xf numFmtId="184" fontId="36" fillId="0" borderId="0">
      <alignment horizontal="left" wrapText="1"/>
    </xf>
    <xf numFmtId="0" fontId="36" fillId="0" borderId="0" applyNumberFormat="0" applyBorder="0" applyAlignment="0"/>
    <xf numFmtId="185" fontId="42" fillId="0" borderId="0" applyFont="0" applyFill="0" applyBorder="0" applyAlignment="0" applyProtection="0"/>
    <xf numFmtId="175" fontId="45" fillId="0" borderId="12" applyFont="0" applyFill="0" applyBorder="0" applyAlignment="0" applyProtection="0">
      <protection locked="0"/>
    </xf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37" fontId="107" fillId="0" borderId="0">
      <alignment horizontal="center"/>
    </xf>
    <xf numFmtId="0" fontId="44" fillId="0" borderId="0"/>
    <xf numFmtId="0" fontId="98" fillId="73" borderId="0"/>
    <xf numFmtId="186" fontId="108" fillId="0" borderId="0">
      <alignment horizontal="left" vertical="center"/>
    </xf>
    <xf numFmtId="0" fontId="80" fillId="56" borderId="0">
      <alignment horizontal="left" wrapText="1"/>
    </xf>
    <xf numFmtId="0" fontId="109" fillId="0" borderId="0">
      <alignment horizontal="left" vertical="center"/>
    </xf>
    <xf numFmtId="0" fontId="107" fillId="0" borderId="0">
      <alignment horizontal="centerContinuous"/>
    </xf>
    <xf numFmtId="0" fontId="110" fillId="0" borderId="39" applyNumberFormat="0" applyFill="0" applyAlignment="0" applyProtection="0"/>
    <xf numFmtId="0" fontId="20" fillId="0" borderId="39" applyNumberFormat="0" applyFill="0" applyAlignment="0" applyProtection="0"/>
    <xf numFmtId="0" fontId="20" fillId="0" borderId="39" applyNumberFormat="0" applyFill="0" applyAlignment="0" applyProtection="0"/>
    <xf numFmtId="0" fontId="20" fillId="0" borderId="9" applyNumberFormat="0" applyFill="0" applyAlignment="0" applyProtection="0"/>
    <xf numFmtId="165" fontId="66" fillId="0" borderId="0" applyNumberFormat="0" applyBorder="0" applyAlignment="0">
      <protection locked="0"/>
    </xf>
    <xf numFmtId="0" fontId="111" fillId="0" borderId="0"/>
    <xf numFmtId="0" fontId="11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87" fontId="42" fillId="0" borderId="0" applyFont="0" applyFill="0" applyBorder="0" applyAlignment="0" applyProtection="0"/>
    <xf numFmtId="188" fontId="4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0" fillId="0" borderId="42" applyNumberFormat="0" applyFont="0" applyAlignment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8" fillId="73" borderId="43"/>
    <xf numFmtId="0" fontId="80" fillId="56" borderId="41" applyNumberFormat="0">
      <alignment horizontal="center" vertical="center" wrapText="1"/>
    </xf>
    <xf numFmtId="9" fontId="2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1" fontId="68" fillId="0" borderId="41" applyFont="0" applyFill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180" fontId="45" fillId="0" borderId="44" applyFont="0" applyFill="0" applyBorder="0" applyAlignment="0" applyProtection="0">
      <protection locked="0"/>
    </xf>
    <xf numFmtId="175" fontId="45" fillId="0" borderId="41" applyFont="0" applyFill="0" applyBorder="0" applyAlignment="0" applyProtection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6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5" borderId="0" applyNumberFormat="0" applyBorder="0" applyAlignment="0" applyProtection="0"/>
    <xf numFmtId="0" fontId="2" fillId="44" borderId="0" applyNumberFormat="0" applyBorder="0" applyAlignment="0" applyProtection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42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32" fillId="41" borderId="15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4" fillId="0" borderId="19" applyNumberFormat="0" applyFill="0" applyAlignment="0" applyProtection="0"/>
    <xf numFmtId="0" fontId="55" fillId="0" borderId="19" applyNumberFormat="0" applyFill="0" applyAlignment="0" applyProtection="0"/>
    <xf numFmtId="0" fontId="65" fillId="40" borderId="15" applyNumberFormat="0" applyAlignment="0" applyProtection="0"/>
    <xf numFmtId="3" fontId="64" fillId="58" borderId="22" applyBorder="0">
      <alignment vertical="center"/>
      <protection locked="0"/>
    </xf>
    <xf numFmtId="3" fontId="64" fillId="58" borderId="22" applyBorder="0">
      <alignment vertical="center"/>
      <protection locked="0"/>
    </xf>
    <xf numFmtId="44" fontId="80" fillId="0" borderId="42" applyNumberFormat="0" applyFont="0" applyAlignment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36" fillId="72" borderId="22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89" fillId="41" borderId="29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7" fontId="96" fillId="69" borderId="33" applyBorder="0" applyAlignment="0">
      <alignment horizontal="left" vertical="center"/>
      <protection locked="0"/>
    </xf>
    <xf numFmtId="0" fontId="98" fillId="73" borderId="43"/>
    <xf numFmtId="0" fontId="99" fillId="74" borderId="35"/>
    <xf numFmtId="0" fontId="100" fillId="73" borderId="36"/>
    <xf numFmtId="42" fontId="101" fillId="75" borderId="37">
      <alignment vertical="center"/>
    </xf>
    <xf numFmtId="0" fontId="80" fillId="56" borderId="41" applyNumberFormat="0">
      <alignment horizontal="center" vertical="center" wrapText="1"/>
    </xf>
    <xf numFmtId="42" fontId="102" fillId="56" borderId="11">
      <alignment horizontal="left"/>
    </xf>
    <xf numFmtId="38" fontId="56" fillId="0" borderId="11"/>
    <xf numFmtId="0" fontId="110" fillId="0" borderId="39" applyNumberFormat="0" applyFill="0" applyAlignment="0" applyProtection="0"/>
    <xf numFmtId="0" fontId="20" fillId="0" borderId="39" applyNumberFormat="0" applyFill="0" applyAlignment="0" applyProtection="0"/>
    <xf numFmtId="0" fontId="98" fillId="73" borderId="43"/>
    <xf numFmtId="42" fontId="102" fillId="56" borderId="11">
      <alignment horizontal="left"/>
    </xf>
    <xf numFmtId="38" fontId="56" fillId="0" borderId="11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3" fillId="0" borderId="0" applyFont="0" applyFill="0" applyBorder="0" applyAlignment="0" applyProtection="0"/>
  </cellStyleXfs>
  <cellXfs count="64">
    <xf numFmtId="0" fontId="0" fillId="0" borderId="0" xfId="0"/>
    <xf numFmtId="0" fontId="22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24" fillId="0" borderId="0" xfId="1" applyFont="1" applyAlignment="1">
      <alignment horizontal="center"/>
    </xf>
    <xf numFmtId="0" fontId="24" fillId="0" borderId="0" xfId="1" applyFont="1"/>
    <xf numFmtId="0" fontId="25" fillId="0" borderId="0" xfId="1" applyFont="1" applyAlignment="1">
      <alignment horizontal="center"/>
    </xf>
    <xf numFmtId="0" fontId="26" fillId="0" borderId="0" xfId="1" applyFont="1"/>
    <xf numFmtId="164" fontId="24" fillId="0" borderId="0" xfId="2" applyNumberFormat="1" applyFont="1"/>
    <xf numFmtId="165" fontId="24" fillId="0" borderId="0" xfId="1" applyNumberFormat="1" applyFont="1"/>
    <xf numFmtId="0" fontId="24" fillId="0" borderId="10" xfId="1" applyFont="1" applyBorder="1"/>
    <xf numFmtId="0" fontId="25" fillId="0" borderId="12" xfId="1" applyFont="1" applyBorder="1" applyAlignment="1">
      <alignment horizontal="centerContinuous"/>
    </xf>
    <xf numFmtId="0" fontId="24" fillId="0" borderId="12" xfId="1" applyFont="1" applyBorder="1" applyAlignment="1">
      <alignment horizontal="centerContinuous"/>
    </xf>
    <xf numFmtId="0" fontId="25" fillId="0" borderId="0" xfId="1" applyFont="1" applyAlignment="1"/>
    <xf numFmtId="0" fontId="25" fillId="0" borderId="0" xfId="1" applyFont="1" applyAlignment="1">
      <alignment wrapText="1"/>
    </xf>
    <xf numFmtId="0" fontId="20" fillId="0" borderId="0" xfId="1" applyFont="1"/>
    <xf numFmtId="0" fontId="17" fillId="0" borderId="0" xfId="1" applyFont="1"/>
    <xf numFmtId="0" fontId="4" fillId="0" borderId="0" xfId="1" applyFont="1" applyBorder="1"/>
    <xf numFmtId="0" fontId="20" fillId="34" borderId="14" xfId="1" applyFont="1" applyFill="1" applyBorder="1"/>
    <xf numFmtId="0" fontId="4" fillId="34" borderId="14" xfId="1" applyFont="1" applyFill="1" applyBorder="1"/>
    <xf numFmtId="164" fontId="28" fillId="33" borderId="0" xfId="2" applyNumberFormat="1" applyFont="1" applyFill="1"/>
    <xf numFmtId="37" fontId="4" fillId="0" borderId="0" xfId="1" applyNumberFormat="1" applyFont="1"/>
    <xf numFmtId="165" fontId="24" fillId="0" borderId="0" xfId="3" applyNumberFormat="1" applyFont="1"/>
    <xf numFmtId="165" fontId="28" fillId="33" borderId="0" xfId="3" applyNumberFormat="1" applyFont="1" applyFill="1"/>
    <xf numFmtId="0" fontId="24" fillId="0" borderId="0" xfId="1" applyFont="1" applyAlignment="1">
      <alignment horizontal="left" indent="2"/>
    </xf>
    <xf numFmtId="164" fontId="24" fillId="0" borderId="11" xfId="1" applyNumberFormat="1" applyFont="1" applyBorder="1"/>
    <xf numFmtId="164" fontId="4" fillId="0" borderId="11" xfId="1" applyNumberFormat="1" applyFont="1" applyBorder="1"/>
    <xf numFmtId="164" fontId="4" fillId="0" borderId="0" xfId="1" applyNumberFormat="1" applyFont="1"/>
    <xf numFmtId="0" fontId="4" fillId="0" borderId="0" xfId="1" applyFont="1" applyAlignment="1">
      <alignment horizontal="left" indent="2"/>
    </xf>
    <xf numFmtId="165" fontId="4" fillId="0" borderId="0" xfId="1" applyNumberFormat="1" applyFont="1"/>
    <xf numFmtId="166" fontId="4" fillId="0" borderId="0" xfId="1" applyNumberFormat="1" applyFont="1"/>
    <xf numFmtId="164" fontId="26" fillId="0" borderId="0" xfId="1" applyNumberFormat="1" applyFont="1"/>
    <xf numFmtId="0" fontId="22" fillId="0" borderId="0" xfId="733" applyFont="1"/>
    <xf numFmtId="0" fontId="4" fillId="0" borderId="0" xfId="733" applyFont="1"/>
    <xf numFmtId="0" fontId="24" fillId="0" borderId="0" xfId="733" applyFont="1"/>
    <xf numFmtId="0" fontId="25" fillId="0" borderId="0" xfId="733" applyFont="1" applyAlignment="1">
      <alignment horizontal="center"/>
    </xf>
    <xf numFmtId="0" fontId="26" fillId="0" borderId="0" xfId="733" applyFont="1"/>
    <xf numFmtId="0" fontId="24" fillId="0" borderId="40" xfId="733" applyFont="1" applyBorder="1"/>
    <xf numFmtId="0" fontId="20" fillId="0" borderId="0" xfId="733" applyFont="1"/>
    <xf numFmtId="0" fontId="25" fillId="0" borderId="41" xfId="733" applyFont="1" applyBorder="1" applyAlignment="1">
      <alignment horizontal="centerContinuous"/>
    </xf>
    <xf numFmtId="0" fontId="24" fillId="0" borderId="41" xfId="733" applyFont="1" applyBorder="1" applyAlignment="1">
      <alignment horizontal="centerContinuous"/>
    </xf>
    <xf numFmtId="0" fontId="25" fillId="0" borderId="0" xfId="733" applyFont="1" applyAlignment="1"/>
    <xf numFmtId="0" fontId="25" fillId="0" borderId="0" xfId="733" applyFont="1" applyAlignment="1">
      <alignment wrapText="1"/>
    </xf>
    <xf numFmtId="0" fontId="25" fillId="0" borderId="11" xfId="733" applyFont="1" applyBorder="1" applyAlignment="1">
      <alignment horizontal="center"/>
    </xf>
    <xf numFmtId="0" fontId="17" fillId="0" borderId="0" xfId="733" applyFont="1"/>
    <xf numFmtId="0" fontId="4" fillId="0" borderId="0" xfId="733" applyFont="1" applyBorder="1"/>
    <xf numFmtId="0" fontId="20" fillId="34" borderId="14" xfId="733" applyFont="1" applyFill="1" applyBorder="1"/>
    <xf numFmtId="0" fontId="4" fillId="34" borderId="14" xfId="733" applyFont="1" applyFill="1" applyBorder="1"/>
    <xf numFmtId="164" fontId="4" fillId="34" borderId="14" xfId="733" applyNumberFormat="1" applyFont="1" applyFill="1" applyBorder="1"/>
    <xf numFmtId="0" fontId="24" fillId="0" borderId="0" xfId="733" applyFont="1" applyAlignment="1">
      <alignment horizontal="center"/>
    </xf>
    <xf numFmtId="0" fontId="24" fillId="0" borderId="0" xfId="733" applyFont="1" applyAlignment="1">
      <alignment horizontal="left"/>
    </xf>
    <xf numFmtId="0" fontId="4" fillId="0" borderId="0" xfId="733" applyFont="1" applyAlignment="1">
      <alignment horizontal="center"/>
    </xf>
    <xf numFmtId="0" fontId="24" fillId="0" borderId="0" xfId="733" applyFont="1" applyAlignment="1">
      <alignment horizontal="left" indent="2"/>
    </xf>
    <xf numFmtId="164" fontId="24" fillId="0" borderId="11" xfId="733" applyNumberFormat="1" applyFont="1" applyBorder="1"/>
    <xf numFmtId="164" fontId="4" fillId="0" borderId="0" xfId="733" applyNumberFormat="1" applyFont="1"/>
    <xf numFmtId="43" fontId="4" fillId="34" borderId="14" xfId="733" applyNumberFormat="1" applyFont="1" applyFill="1" applyBorder="1"/>
    <xf numFmtId="0" fontId="4" fillId="0" borderId="0" xfId="733" applyFont="1" applyAlignment="1">
      <alignment horizontal="left" indent="2"/>
    </xf>
    <xf numFmtId="164" fontId="4" fillId="0" borderId="0" xfId="733" applyNumberFormat="1" applyFont="1" applyBorder="1"/>
    <xf numFmtId="42" fontId="26" fillId="0" borderId="0" xfId="733" applyNumberFormat="1" applyFont="1"/>
    <xf numFmtId="164" fontId="26" fillId="0" borderId="0" xfId="733" applyNumberFormat="1" applyFont="1"/>
    <xf numFmtId="0" fontId="27" fillId="79" borderId="13" xfId="733" applyFont="1" applyFill="1" applyBorder="1"/>
    <xf numFmtId="0" fontId="17" fillId="79" borderId="13" xfId="733" applyFont="1" applyFill="1" applyBorder="1"/>
    <xf numFmtId="0" fontId="3" fillId="80" borderId="0" xfId="733" applyFont="1" applyFill="1" applyAlignment="1">
      <alignment vertical="center"/>
    </xf>
    <xf numFmtId="0" fontId="1" fillId="0" borderId="0" xfId="1" applyFont="1"/>
  </cellXfs>
  <cellStyles count="3629">
    <cellStyle name="20% - Accent1 2" xfId="4"/>
    <cellStyle name="20% - Accent1 2 2" xfId="5"/>
    <cellStyle name="20% - Accent1 2 2 2" xfId="6"/>
    <cellStyle name="20% - Accent1 2 2 2 2" xfId="7"/>
    <cellStyle name="20% - Accent1 2 2 2 2 2" xfId="2672"/>
    <cellStyle name="20% - Accent1 2 2 2 2 3" xfId="2595"/>
    <cellStyle name="20% - Accent1 2 2 2 3" xfId="2671"/>
    <cellStyle name="20% - Accent1 2 2 2 4" xfId="2403"/>
    <cellStyle name="20% - Accent1 2 2 3" xfId="8"/>
    <cellStyle name="20% - Accent1 2 2 3 2" xfId="2673"/>
    <cellStyle name="20% - Accent1 2 2 3 3" xfId="2498"/>
    <cellStyle name="20% - Accent1 2 2 4" xfId="9"/>
    <cellStyle name="20% - Accent1 2 2 4 2" xfId="2674"/>
    <cellStyle name="20% - Accent1 2 2 4 3" xfId="2306"/>
    <cellStyle name="20% - Accent1 2 3" xfId="10"/>
    <cellStyle name="20% - Accent1 2 3 2" xfId="11"/>
    <cellStyle name="20% - Accent1 2 3 2 2" xfId="12"/>
    <cellStyle name="20% - Accent1 2 3 2 2 2" xfId="2677"/>
    <cellStyle name="20% - Accent1 2 3 2 2 3" xfId="2578"/>
    <cellStyle name="20% - Accent1 2 3 2 3" xfId="2676"/>
    <cellStyle name="20% - Accent1 2 3 2 4" xfId="2386"/>
    <cellStyle name="20% - Accent1 2 3 3" xfId="13"/>
    <cellStyle name="20% - Accent1 2 3 3 2" xfId="2678"/>
    <cellStyle name="20% - Accent1 2 3 3 3" xfId="2481"/>
    <cellStyle name="20% - Accent1 2 3 4" xfId="14"/>
    <cellStyle name="20% - Accent1 2 3 4 2" xfId="2679"/>
    <cellStyle name="20% - Accent1 2 3 4 3" xfId="2289"/>
    <cellStyle name="20% - Accent1 2 3 5" xfId="2675"/>
    <cellStyle name="20% - Accent1 2 3 6" xfId="2174"/>
    <cellStyle name="20% - Accent1 2 4" xfId="15"/>
    <cellStyle name="20% - Accent1 2 4 2" xfId="16"/>
    <cellStyle name="20% - Accent1 2 4 2 2" xfId="2681"/>
    <cellStyle name="20% - Accent1 2 4 2 3" xfId="2547"/>
    <cellStyle name="20% - Accent1 2 4 3" xfId="2680"/>
    <cellStyle name="20% - Accent1 2 4 4" xfId="2355"/>
    <cellStyle name="20% - Accent1 2 5" xfId="17"/>
    <cellStyle name="20% - Accent1 2 5 2" xfId="2682"/>
    <cellStyle name="20% - Accent1 2 5 3" xfId="2450"/>
    <cellStyle name="20% - Accent1 2 6" xfId="18"/>
    <cellStyle name="20% - Accent1 2 6 2" xfId="2683"/>
    <cellStyle name="20% - Accent1 2 6 3" xfId="2632"/>
    <cellStyle name="20% - Accent1 2 7" xfId="19"/>
    <cellStyle name="20% - Accent1 2 7 2" xfId="2684"/>
    <cellStyle name="20% - Accent1 2 7 3" xfId="2258"/>
    <cellStyle name="20% - Accent1 2 8" xfId="2670"/>
    <cellStyle name="20% - Accent1 2 9" xfId="1747"/>
    <cellStyle name="20% - Accent1 3" xfId="20"/>
    <cellStyle name="20% - Accent1 3 2" xfId="21"/>
    <cellStyle name="20% - Accent1 3 2 2" xfId="2686"/>
    <cellStyle name="20% - Accent1 3 2 3" xfId="1749"/>
    <cellStyle name="20% - Accent1 3 3" xfId="22"/>
    <cellStyle name="20% - Accent1 3 3 2" xfId="2687"/>
    <cellStyle name="20% - Accent1 3 3 3" xfId="1750"/>
    <cellStyle name="20% - Accent1 3 4" xfId="2685"/>
    <cellStyle name="20% - Accent1 3 5" xfId="1748"/>
    <cellStyle name="20% - Accent1 4" xfId="23"/>
    <cellStyle name="20% - Accent1 4 2" xfId="2688"/>
    <cellStyle name="20% - Accent1 4 3" xfId="1751"/>
    <cellStyle name="20% - Accent1 5" xfId="24"/>
    <cellStyle name="20% - Accent1 5 2" xfId="2689"/>
    <cellStyle name="20% - Accent1 5 3" xfId="1752"/>
    <cellStyle name="20% - Accent1 6" xfId="25"/>
    <cellStyle name="20% - Accent1 6 2" xfId="2690"/>
    <cellStyle name="20% - Accent1 6 3" xfId="1753"/>
    <cellStyle name="20% - Accent1 7" xfId="26"/>
    <cellStyle name="20% - Accent1 7 2" xfId="2691"/>
    <cellStyle name="20% - Accent1 7 3" xfId="1754"/>
    <cellStyle name="20% - Accent1 8" xfId="27"/>
    <cellStyle name="20% - Accent1 8 2" xfId="2692"/>
    <cellStyle name="20% - Accent1 8 3" xfId="1755"/>
    <cellStyle name="20% - Accent1 9" xfId="28"/>
    <cellStyle name="20% - Accent1 9 2" xfId="2693"/>
    <cellStyle name="20% - Accent1 9 3" xfId="1756"/>
    <cellStyle name="20% - Accent2 2" xfId="29"/>
    <cellStyle name="20% - Accent2 2 2" xfId="30"/>
    <cellStyle name="20% - Accent2 2 2 2" xfId="31"/>
    <cellStyle name="20% - Accent2 2 2 2 2" xfId="32"/>
    <cellStyle name="20% - Accent2 2 2 2 2 2" xfId="2696"/>
    <cellStyle name="20% - Accent2 2 2 2 2 3" xfId="2596"/>
    <cellStyle name="20% - Accent2 2 2 2 3" xfId="2695"/>
    <cellStyle name="20% - Accent2 2 2 2 4" xfId="2404"/>
    <cellStyle name="20% - Accent2 2 2 3" xfId="33"/>
    <cellStyle name="20% - Accent2 2 2 3 2" xfId="2697"/>
    <cellStyle name="20% - Accent2 2 2 3 3" xfId="2499"/>
    <cellStyle name="20% - Accent2 2 2 4" xfId="34"/>
    <cellStyle name="20% - Accent2 2 2 4 2" xfId="2698"/>
    <cellStyle name="20% - Accent2 2 2 4 3" xfId="2307"/>
    <cellStyle name="20% - Accent2 2 3" xfId="35"/>
    <cellStyle name="20% - Accent2 2 3 2" xfId="36"/>
    <cellStyle name="20% - Accent2 2 3 2 2" xfId="37"/>
    <cellStyle name="20% - Accent2 2 3 2 2 2" xfId="2701"/>
    <cellStyle name="20% - Accent2 2 3 2 2 3" xfId="2579"/>
    <cellStyle name="20% - Accent2 2 3 2 3" xfId="2700"/>
    <cellStyle name="20% - Accent2 2 3 2 4" xfId="2387"/>
    <cellStyle name="20% - Accent2 2 3 3" xfId="38"/>
    <cellStyle name="20% - Accent2 2 3 3 2" xfId="2702"/>
    <cellStyle name="20% - Accent2 2 3 3 3" xfId="2482"/>
    <cellStyle name="20% - Accent2 2 3 4" xfId="39"/>
    <cellStyle name="20% - Accent2 2 3 4 2" xfId="2703"/>
    <cellStyle name="20% - Accent2 2 3 4 3" xfId="2290"/>
    <cellStyle name="20% - Accent2 2 3 5" xfId="2699"/>
    <cellStyle name="20% - Accent2 2 3 6" xfId="2175"/>
    <cellStyle name="20% - Accent2 2 4" xfId="40"/>
    <cellStyle name="20% - Accent2 2 4 2" xfId="41"/>
    <cellStyle name="20% - Accent2 2 4 2 2" xfId="2705"/>
    <cellStyle name="20% - Accent2 2 4 2 3" xfId="2548"/>
    <cellStyle name="20% - Accent2 2 4 3" xfId="2704"/>
    <cellStyle name="20% - Accent2 2 4 4" xfId="2356"/>
    <cellStyle name="20% - Accent2 2 5" xfId="42"/>
    <cellStyle name="20% - Accent2 2 5 2" xfId="2706"/>
    <cellStyle name="20% - Accent2 2 5 3" xfId="2451"/>
    <cellStyle name="20% - Accent2 2 6" xfId="43"/>
    <cellStyle name="20% - Accent2 2 6 2" xfId="2707"/>
    <cellStyle name="20% - Accent2 2 6 3" xfId="2633"/>
    <cellStyle name="20% - Accent2 2 7" xfId="44"/>
    <cellStyle name="20% - Accent2 2 7 2" xfId="2708"/>
    <cellStyle name="20% - Accent2 2 7 3" xfId="2259"/>
    <cellStyle name="20% - Accent2 2 8" xfId="2694"/>
    <cellStyle name="20% - Accent2 2 9" xfId="1757"/>
    <cellStyle name="20% - Accent2 3" xfId="45"/>
    <cellStyle name="20% - Accent2 3 2" xfId="46"/>
    <cellStyle name="20% - Accent2 3 2 2" xfId="2710"/>
    <cellStyle name="20% - Accent2 3 2 3" xfId="1759"/>
    <cellStyle name="20% - Accent2 3 3" xfId="47"/>
    <cellStyle name="20% - Accent2 3 3 2" xfId="2711"/>
    <cellStyle name="20% - Accent2 3 3 3" xfId="1760"/>
    <cellStyle name="20% - Accent2 3 4" xfId="2709"/>
    <cellStyle name="20% - Accent2 3 5" xfId="1758"/>
    <cellStyle name="20% - Accent2 4" xfId="48"/>
    <cellStyle name="20% - Accent2 4 2" xfId="2712"/>
    <cellStyle name="20% - Accent2 4 3" xfId="1761"/>
    <cellStyle name="20% - Accent2 5" xfId="49"/>
    <cellStyle name="20% - Accent2 5 2" xfId="2713"/>
    <cellStyle name="20% - Accent2 5 3" xfId="1762"/>
    <cellStyle name="20% - Accent2 6" xfId="50"/>
    <cellStyle name="20% - Accent2 6 2" xfId="2714"/>
    <cellStyle name="20% - Accent2 6 3" xfId="1763"/>
    <cellStyle name="20% - Accent2 7" xfId="51"/>
    <cellStyle name="20% - Accent2 7 2" xfId="2715"/>
    <cellStyle name="20% - Accent2 7 3" xfId="1764"/>
    <cellStyle name="20% - Accent2 8" xfId="52"/>
    <cellStyle name="20% - Accent2 8 2" xfId="2716"/>
    <cellStyle name="20% - Accent2 8 3" xfId="1765"/>
    <cellStyle name="20% - Accent2 9" xfId="53"/>
    <cellStyle name="20% - Accent2 9 2" xfId="2717"/>
    <cellStyle name="20% - Accent2 9 3" xfId="1766"/>
    <cellStyle name="20% - Accent3 2" xfId="54"/>
    <cellStyle name="20% - Accent3 2 2" xfId="55"/>
    <cellStyle name="20% - Accent3 2 2 2" xfId="56"/>
    <cellStyle name="20% - Accent3 2 2 2 2" xfId="57"/>
    <cellStyle name="20% - Accent3 2 2 2 2 2" xfId="2720"/>
    <cellStyle name="20% - Accent3 2 2 2 2 3" xfId="2597"/>
    <cellStyle name="20% - Accent3 2 2 2 3" xfId="2719"/>
    <cellStyle name="20% - Accent3 2 2 2 4" xfId="2405"/>
    <cellStyle name="20% - Accent3 2 2 3" xfId="58"/>
    <cellStyle name="20% - Accent3 2 2 3 2" xfId="2721"/>
    <cellStyle name="20% - Accent3 2 2 3 3" xfId="2500"/>
    <cellStyle name="20% - Accent3 2 2 4" xfId="59"/>
    <cellStyle name="20% - Accent3 2 2 4 2" xfId="2722"/>
    <cellStyle name="20% - Accent3 2 2 4 3" xfId="2308"/>
    <cellStyle name="20% - Accent3 2 3" xfId="60"/>
    <cellStyle name="20% - Accent3 2 3 2" xfId="61"/>
    <cellStyle name="20% - Accent3 2 3 2 2" xfId="62"/>
    <cellStyle name="20% - Accent3 2 3 2 2 2" xfId="2725"/>
    <cellStyle name="20% - Accent3 2 3 2 2 3" xfId="2580"/>
    <cellStyle name="20% - Accent3 2 3 2 3" xfId="2724"/>
    <cellStyle name="20% - Accent3 2 3 2 4" xfId="2388"/>
    <cellStyle name="20% - Accent3 2 3 3" xfId="63"/>
    <cellStyle name="20% - Accent3 2 3 3 2" xfId="2726"/>
    <cellStyle name="20% - Accent3 2 3 3 3" xfId="2483"/>
    <cellStyle name="20% - Accent3 2 3 4" xfId="64"/>
    <cellStyle name="20% - Accent3 2 3 4 2" xfId="2727"/>
    <cellStyle name="20% - Accent3 2 3 4 3" xfId="2291"/>
    <cellStyle name="20% - Accent3 2 3 5" xfId="2723"/>
    <cellStyle name="20% - Accent3 2 3 6" xfId="2176"/>
    <cellStyle name="20% - Accent3 2 4" xfId="65"/>
    <cellStyle name="20% - Accent3 2 4 2" xfId="66"/>
    <cellStyle name="20% - Accent3 2 4 2 2" xfId="2729"/>
    <cellStyle name="20% - Accent3 2 4 2 3" xfId="2549"/>
    <cellStyle name="20% - Accent3 2 4 3" xfId="2728"/>
    <cellStyle name="20% - Accent3 2 4 4" xfId="2357"/>
    <cellStyle name="20% - Accent3 2 5" xfId="67"/>
    <cellStyle name="20% - Accent3 2 5 2" xfId="2730"/>
    <cellStyle name="20% - Accent3 2 5 3" xfId="2452"/>
    <cellStyle name="20% - Accent3 2 6" xfId="68"/>
    <cellStyle name="20% - Accent3 2 6 2" xfId="2731"/>
    <cellStyle name="20% - Accent3 2 6 3" xfId="2634"/>
    <cellStyle name="20% - Accent3 2 7" xfId="69"/>
    <cellStyle name="20% - Accent3 2 7 2" xfId="2732"/>
    <cellStyle name="20% - Accent3 2 7 3" xfId="2260"/>
    <cellStyle name="20% - Accent3 2 8" xfId="2718"/>
    <cellStyle name="20% - Accent3 2 9" xfId="1767"/>
    <cellStyle name="20% - Accent3 3" xfId="70"/>
    <cellStyle name="20% - Accent3 3 2" xfId="71"/>
    <cellStyle name="20% - Accent3 3 2 2" xfId="2734"/>
    <cellStyle name="20% - Accent3 3 2 3" xfId="1769"/>
    <cellStyle name="20% - Accent3 3 3" xfId="72"/>
    <cellStyle name="20% - Accent3 3 3 2" xfId="2735"/>
    <cellStyle name="20% - Accent3 3 3 3" xfId="1770"/>
    <cellStyle name="20% - Accent3 3 4" xfId="2733"/>
    <cellStyle name="20% - Accent3 3 5" xfId="1768"/>
    <cellStyle name="20% - Accent3 4" xfId="73"/>
    <cellStyle name="20% - Accent3 4 2" xfId="2736"/>
    <cellStyle name="20% - Accent3 4 3" xfId="1771"/>
    <cellStyle name="20% - Accent3 5" xfId="74"/>
    <cellStyle name="20% - Accent3 5 2" xfId="2737"/>
    <cellStyle name="20% - Accent3 5 3" xfId="1772"/>
    <cellStyle name="20% - Accent3 6" xfId="75"/>
    <cellStyle name="20% - Accent3 6 2" xfId="2738"/>
    <cellStyle name="20% - Accent3 6 3" xfId="1773"/>
    <cellStyle name="20% - Accent3 7" xfId="76"/>
    <cellStyle name="20% - Accent3 7 2" xfId="2739"/>
    <cellStyle name="20% - Accent3 7 3" xfId="1774"/>
    <cellStyle name="20% - Accent3 8" xfId="77"/>
    <cellStyle name="20% - Accent3 8 2" xfId="2740"/>
    <cellStyle name="20% - Accent3 8 3" xfId="1775"/>
    <cellStyle name="20% - Accent3 9" xfId="78"/>
    <cellStyle name="20% - Accent3 9 2" xfId="2741"/>
    <cellStyle name="20% - Accent3 9 3" xfId="1776"/>
    <cellStyle name="20% - Accent4 2" xfId="79"/>
    <cellStyle name="20% - Accent4 2 2" xfId="80"/>
    <cellStyle name="20% - Accent4 2 2 2" xfId="81"/>
    <cellStyle name="20% - Accent4 2 2 2 2" xfId="82"/>
    <cellStyle name="20% - Accent4 2 2 2 2 2" xfId="2744"/>
    <cellStyle name="20% - Accent4 2 2 2 2 3" xfId="2598"/>
    <cellStyle name="20% - Accent4 2 2 2 3" xfId="2743"/>
    <cellStyle name="20% - Accent4 2 2 2 4" xfId="2406"/>
    <cellStyle name="20% - Accent4 2 2 3" xfId="83"/>
    <cellStyle name="20% - Accent4 2 2 3 2" xfId="2745"/>
    <cellStyle name="20% - Accent4 2 2 3 3" xfId="2501"/>
    <cellStyle name="20% - Accent4 2 2 4" xfId="84"/>
    <cellStyle name="20% - Accent4 2 2 4 2" xfId="2746"/>
    <cellStyle name="20% - Accent4 2 2 4 3" xfId="2309"/>
    <cellStyle name="20% - Accent4 2 3" xfId="85"/>
    <cellStyle name="20% - Accent4 2 3 2" xfId="86"/>
    <cellStyle name="20% - Accent4 2 3 2 2" xfId="87"/>
    <cellStyle name="20% - Accent4 2 3 2 2 2" xfId="2749"/>
    <cellStyle name="20% - Accent4 2 3 2 2 3" xfId="2581"/>
    <cellStyle name="20% - Accent4 2 3 2 3" xfId="2748"/>
    <cellStyle name="20% - Accent4 2 3 2 4" xfId="2389"/>
    <cellStyle name="20% - Accent4 2 3 3" xfId="88"/>
    <cellStyle name="20% - Accent4 2 3 3 2" xfId="2750"/>
    <cellStyle name="20% - Accent4 2 3 3 3" xfId="2484"/>
    <cellStyle name="20% - Accent4 2 3 4" xfId="89"/>
    <cellStyle name="20% - Accent4 2 3 4 2" xfId="2751"/>
    <cellStyle name="20% - Accent4 2 3 4 3" xfId="2292"/>
    <cellStyle name="20% - Accent4 2 3 5" xfId="2747"/>
    <cellStyle name="20% - Accent4 2 3 6" xfId="2177"/>
    <cellStyle name="20% - Accent4 2 4" xfId="90"/>
    <cellStyle name="20% - Accent4 2 4 2" xfId="91"/>
    <cellStyle name="20% - Accent4 2 4 2 2" xfId="2753"/>
    <cellStyle name="20% - Accent4 2 4 2 3" xfId="2550"/>
    <cellStyle name="20% - Accent4 2 4 3" xfId="2752"/>
    <cellStyle name="20% - Accent4 2 4 4" xfId="2358"/>
    <cellStyle name="20% - Accent4 2 5" xfId="92"/>
    <cellStyle name="20% - Accent4 2 5 2" xfId="2754"/>
    <cellStyle name="20% - Accent4 2 5 3" xfId="2453"/>
    <cellStyle name="20% - Accent4 2 6" xfId="93"/>
    <cellStyle name="20% - Accent4 2 6 2" xfId="2755"/>
    <cellStyle name="20% - Accent4 2 6 3" xfId="2635"/>
    <cellStyle name="20% - Accent4 2 7" xfId="94"/>
    <cellStyle name="20% - Accent4 2 7 2" xfId="2756"/>
    <cellStyle name="20% - Accent4 2 7 3" xfId="2261"/>
    <cellStyle name="20% - Accent4 2 8" xfId="2742"/>
    <cellStyle name="20% - Accent4 2 9" xfId="1777"/>
    <cellStyle name="20% - Accent4 3" xfId="95"/>
    <cellStyle name="20% - Accent4 3 2" xfId="96"/>
    <cellStyle name="20% - Accent4 3 2 2" xfId="2758"/>
    <cellStyle name="20% - Accent4 3 2 3" xfId="1779"/>
    <cellStyle name="20% - Accent4 3 3" xfId="97"/>
    <cellStyle name="20% - Accent4 3 3 2" xfId="2759"/>
    <cellStyle name="20% - Accent4 3 3 3" xfId="1780"/>
    <cellStyle name="20% - Accent4 3 4" xfId="2757"/>
    <cellStyle name="20% - Accent4 3 5" xfId="1778"/>
    <cellStyle name="20% - Accent4 4" xfId="98"/>
    <cellStyle name="20% - Accent4 4 2" xfId="2760"/>
    <cellStyle name="20% - Accent4 4 3" xfId="1781"/>
    <cellStyle name="20% - Accent4 5" xfId="99"/>
    <cellStyle name="20% - Accent4 5 2" xfId="2761"/>
    <cellStyle name="20% - Accent4 5 3" xfId="1782"/>
    <cellStyle name="20% - Accent4 6" xfId="100"/>
    <cellStyle name="20% - Accent4 6 2" xfId="2762"/>
    <cellStyle name="20% - Accent4 6 3" xfId="1783"/>
    <cellStyle name="20% - Accent4 7" xfId="101"/>
    <cellStyle name="20% - Accent4 7 2" xfId="2763"/>
    <cellStyle name="20% - Accent4 7 3" xfId="1784"/>
    <cellStyle name="20% - Accent4 8" xfId="102"/>
    <cellStyle name="20% - Accent4 8 2" xfId="2764"/>
    <cellStyle name="20% - Accent4 8 3" xfId="1785"/>
    <cellStyle name="20% - Accent4 9" xfId="103"/>
    <cellStyle name="20% - Accent4 9 2" xfId="2765"/>
    <cellStyle name="20% - Accent4 9 3" xfId="1786"/>
    <cellStyle name="20% - Accent5 2" xfId="104"/>
    <cellStyle name="20% - Accent5 2 2" xfId="105"/>
    <cellStyle name="20% - Accent5 2 2 2" xfId="106"/>
    <cellStyle name="20% - Accent5 2 2 2 2" xfId="107"/>
    <cellStyle name="20% - Accent5 2 2 2 2 2" xfId="2768"/>
    <cellStyle name="20% - Accent5 2 2 2 2 3" xfId="2599"/>
    <cellStyle name="20% - Accent5 2 2 2 3" xfId="2767"/>
    <cellStyle name="20% - Accent5 2 2 2 4" xfId="2407"/>
    <cellStyle name="20% - Accent5 2 2 3" xfId="108"/>
    <cellStyle name="20% - Accent5 2 2 3 2" xfId="2769"/>
    <cellStyle name="20% - Accent5 2 2 3 3" xfId="2502"/>
    <cellStyle name="20% - Accent5 2 2 4" xfId="109"/>
    <cellStyle name="20% - Accent5 2 2 4 2" xfId="2770"/>
    <cellStyle name="20% - Accent5 2 2 4 3" xfId="2310"/>
    <cellStyle name="20% - Accent5 2 3" xfId="110"/>
    <cellStyle name="20% - Accent5 2 3 2" xfId="111"/>
    <cellStyle name="20% - Accent5 2 3 2 2" xfId="112"/>
    <cellStyle name="20% - Accent5 2 3 2 2 2" xfId="2773"/>
    <cellStyle name="20% - Accent5 2 3 2 2 3" xfId="2582"/>
    <cellStyle name="20% - Accent5 2 3 2 3" xfId="2772"/>
    <cellStyle name="20% - Accent5 2 3 2 4" xfId="2390"/>
    <cellStyle name="20% - Accent5 2 3 3" xfId="113"/>
    <cellStyle name="20% - Accent5 2 3 3 2" xfId="2774"/>
    <cellStyle name="20% - Accent5 2 3 3 3" xfId="2485"/>
    <cellStyle name="20% - Accent5 2 3 4" xfId="114"/>
    <cellStyle name="20% - Accent5 2 3 4 2" xfId="2775"/>
    <cellStyle name="20% - Accent5 2 3 4 3" xfId="2293"/>
    <cellStyle name="20% - Accent5 2 3 5" xfId="2771"/>
    <cellStyle name="20% - Accent5 2 3 6" xfId="2178"/>
    <cellStyle name="20% - Accent5 2 4" xfId="115"/>
    <cellStyle name="20% - Accent5 2 4 2" xfId="116"/>
    <cellStyle name="20% - Accent5 2 4 2 2" xfId="2777"/>
    <cellStyle name="20% - Accent5 2 4 2 3" xfId="2551"/>
    <cellStyle name="20% - Accent5 2 4 3" xfId="2776"/>
    <cellStyle name="20% - Accent5 2 4 4" xfId="2359"/>
    <cellStyle name="20% - Accent5 2 5" xfId="117"/>
    <cellStyle name="20% - Accent5 2 5 2" xfId="2778"/>
    <cellStyle name="20% - Accent5 2 5 3" xfId="2454"/>
    <cellStyle name="20% - Accent5 2 6" xfId="118"/>
    <cellStyle name="20% - Accent5 2 6 2" xfId="2779"/>
    <cellStyle name="20% - Accent5 2 6 3" xfId="2636"/>
    <cellStyle name="20% - Accent5 2 7" xfId="119"/>
    <cellStyle name="20% - Accent5 2 7 2" xfId="2780"/>
    <cellStyle name="20% - Accent5 2 7 3" xfId="2262"/>
    <cellStyle name="20% - Accent5 2 8" xfId="2766"/>
    <cellStyle name="20% - Accent5 2 9" xfId="1787"/>
    <cellStyle name="20% - Accent5 3" xfId="120"/>
    <cellStyle name="20% - Accent5 3 2" xfId="121"/>
    <cellStyle name="20% - Accent5 3 2 2" xfId="2782"/>
    <cellStyle name="20% - Accent5 3 2 3" xfId="1789"/>
    <cellStyle name="20% - Accent5 3 3" xfId="122"/>
    <cellStyle name="20% - Accent5 3 3 2" xfId="2783"/>
    <cellStyle name="20% - Accent5 3 3 3" xfId="1790"/>
    <cellStyle name="20% - Accent5 3 4" xfId="2781"/>
    <cellStyle name="20% - Accent5 3 5" xfId="1788"/>
    <cellStyle name="20% - Accent5 4" xfId="123"/>
    <cellStyle name="20% - Accent5 4 2" xfId="2784"/>
    <cellStyle name="20% - Accent5 4 3" xfId="1791"/>
    <cellStyle name="20% - Accent5 5" xfId="124"/>
    <cellStyle name="20% - Accent5 5 2" xfId="2785"/>
    <cellStyle name="20% - Accent5 5 3" xfId="1792"/>
    <cellStyle name="20% - Accent5 6" xfId="125"/>
    <cellStyle name="20% - Accent5 6 2" xfId="2786"/>
    <cellStyle name="20% - Accent5 6 3" xfId="1793"/>
    <cellStyle name="20% - Accent5 7" xfId="126"/>
    <cellStyle name="20% - Accent5 7 2" xfId="2787"/>
    <cellStyle name="20% - Accent5 7 3" xfId="1794"/>
    <cellStyle name="20% - Accent5 8" xfId="127"/>
    <cellStyle name="20% - Accent5 8 2" xfId="2788"/>
    <cellStyle name="20% - Accent5 8 3" xfId="1795"/>
    <cellStyle name="20% - Accent5 9" xfId="128"/>
    <cellStyle name="20% - Accent5 9 2" xfId="2789"/>
    <cellStyle name="20% - Accent5 9 3" xfId="1796"/>
    <cellStyle name="20% - Accent6 2" xfId="129"/>
    <cellStyle name="20% - Accent6 2 2" xfId="130"/>
    <cellStyle name="20% - Accent6 2 2 2" xfId="131"/>
    <cellStyle name="20% - Accent6 2 2 2 2" xfId="132"/>
    <cellStyle name="20% - Accent6 2 2 2 2 2" xfId="2792"/>
    <cellStyle name="20% - Accent6 2 2 2 2 3" xfId="2600"/>
    <cellStyle name="20% - Accent6 2 2 2 3" xfId="2791"/>
    <cellStyle name="20% - Accent6 2 2 2 4" xfId="2408"/>
    <cellStyle name="20% - Accent6 2 2 3" xfId="133"/>
    <cellStyle name="20% - Accent6 2 2 3 2" xfId="2793"/>
    <cellStyle name="20% - Accent6 2 2 3 3" xfId="2503"/>
    <cellStyle name="20% - Accent6 2 2 4" xfId="134"/>
    <cellStyle name="20% - Accent6 2 2 4 2" xfId="2794"/>
    <cellStyle name="20% - Accent6 2 2 4 3" xfId="2311"/>
    <cellStyle name="20% - Accent6 2 3" xfId="135"/>
    <cellStyle name="20% - Accent6 2 3 2" xfId="136"/>
    <cellStyle name="20% - Accent6 2 3 2 2" xfId="137"/>
    <cellStyle name="20% - Accent6 2 3 2 2 2" xfId="2797"/>
    <cellStyle name="20% - Accent6 2 3 2 2 3" xfId="2583"/>
    <cellStyle name="20% - Accent6 2 3 2 3" xfId="2796"/>
    <cellStyle name="20% - Accent6 2 3 2 4" xfId="2391"/>
    <cellStyle name="20% - Accent6 2 3 3" xfId="138"/>
    <cellStyle name="20% - Accent6 2 3 3 2" xfId="2798"/>
    <cellStyle name="20% - Accent6 2 3 3 3" xfId="2486"/>
    <cellStyle name="20% - Accent6 2 3 4" xfId="139"/>
    <cellStyle name="20% - Accent6 2 3 4 2" xfId="2799"/>
    <cellStyle name="20% - Accent6 2 3 4 3" xfId="2294"/>
    <cellStyle name="20% - Accent6 2 3 5" xfId="2795"/>
    <cellStyle name="20% - Accent6 2 3 6" xfId="2179"/>
    <cellStyle name="20% - Accent6 2 4" xfId="140"/>
    <cellStyle name="20% - Accent6 2 4 2" xfId="141"/>
    <cellStyle name="20% - Accent6 2 4 2 2" xfId="2801"/>
    <cellStyle name="20% - Accent6 2 4 2 3" xfId="2552"/>
    <cellStyle name="20% - Accent6 2 4 3" xfId="2800"/>
    <cellStyle name="20% - Accent6 2 4 4" xfId="2360"/>
    <cellStyle name="20% - Accent6 2 5" xfId="142"/>
    <cellStyle name="20% - Accent6 2 5 2" xfId="2802"/>
    <cellStyle name="20% - Accent6 2 5 3" xfId="2455"/>
    <cellStyle name="20% - Accent6 2 6" xfId="143"/>
    <cellStyle name="20% - Accent6 2 6 2" xfId="2803"/>
    <cellStyle name="20% - Accent6 2 6 3" xfId="2637"/>
    <cellStyle name="20% - Accent6 2 7" xfId="144"/>
    <cellStyle name="20% - Accent6 2 7 2" xfId="2804"/>
    <cellStyle name="20% - Accent6 2 7 3" xfId="2263"/>
    <cellStyle name="20% - Accent6 2 8" xfId="2790"/>
    <cellStyle name="20% - Accent6 2 9" xfId="1797"/>
    <cellStyle name="20% - Accent6 3" xfId="145"/>
    <cellStyle name="20% - Accent6 3 2" xfId="146"/>
    <cellStyle name="20% - Accent6 3 2 2" xfId="2806"/>
    <cellStyle name="20% - Accent6 3 2 3" xfId="1799"/>
    <cellStyle name="20% - Accent6 3 3" xfId="147"/>
    <cellStyle name="20% - Accent6 3 3 2" xfId="2807"/>
    <cellStyle name="20% - Accent6 3 3 3" xfId="1800"/>
    <cellStyle name="20% - Accent6 3 4" xfId="2805"/>
    <cellStyle name="20% - Accent6 3 5" xfId="1798"/>
    <cellStyle name="20% - Accent6 4" xfId="148"/>
    <cellStyle name="20% - Accent6 4 2" xfId="2808"/>
    <cellStyle name="20% - Accent6 4 3" xfId="1801"/>
    <cellStyle name="20% - Accent6 5" xfId="149"/>
    <cellStyle name="20% - Accent6 5 2" xfId="2809"/>
    <cellStyle name="20% - Accent6 5 3" xfId="1802"/>
    <cellStyle name="20% - Accent6 6" xfId="150"/>
    <cellStyle name="20% - Accent6 6 2" xfId="2810"/>
    <cellStyle name="20% - Accent6 6 3" xfId="1803"/>
    <cellStyle name="20% - Accent6 7" xfId="151"/>
    <cellStyle name="20% - Accent6 7 2" xfId="2811"/>
    <cellStyle name="20% - Accent6 7 3" xfId="1804"/>
    <cellStyle name="20% - Accent6 8" xfId="152"/>
    <cellStyle name="20% - Accent6 8 2" xfId="2812"/>
    <cellStyle name="20% - Accent6 8 3" xfId="1805"/>
    <cellStyle name="20% - Accent6 9" xfId="153"/>
    <cellStyle name="20% - Accent6 9 2" xfId="2813"/>
    <cellStyle name="20% - Accent6 9 3" xfId="1806"/>
    <cellStyle name="40% - Accent1 2" xfId="154"/>
    <cellStyle name="40% - Accent1 2 2" xfId="155"/>
    <cellStyle name="40% - Accent1 2 2 2" xfId="156"/>
    <cellStyle name="40% - Accent1 2 2 2 2" xfId="157"/>
    <cellStyle name="40% - Accent1 2 2 2 2 2" xfId="2816"/>
    <cellStyle name="40% - Accent1 2 2 2 2 3" xfId="2601"/>
    <cellStyle name="40% - Accent1 2 2 2 3" xfId="2815"/>
    <cellStyle name="40% - Accent1 2 2 2 4" xfId="2409"/>
    <cellStyle name="40% - Accent1 2 2 3" xfId="158"/>
    <cellStyle name="40% - Accent1 2 2 3 2" xfId="2817"/>
    <cellStyle name="40% - Accent1 2 2 3 3" xfId="2504"/>
    <cellStyle name="40% - Accent1 2 2 4" xfId="159"/>
    <cellStyle name="40% - Accent1 2 2 4 2" xfId="2818"/>
    <cellStyle name="40% - Accent1 2 2 4 3" xfId="2312"/>
    <cellStyle name="40% - Accent1 2 3" xfId="160"/>
    <cellStyle name="40% - Accent1 2 3 2" xfId="161"/>
    <cellStyle name="40% - Accent1 2 3 2 2" xfId="162"/>
    <cellStyle name="40% - Accent1 2 3 2 2 2" xfId="2821"/>
    <cellStyle name="40% - Accent1 2 3 2 2 3" xfId="2584"/>
    <cellStyle name="40% - Accent1 2 3 2 3" xfId="2820"/>
    <cellStyle name="40% - Accent1 2 3 2 4" xfId="2392"/>
    <cellStyle name="40% - Accent1 2 3 3" xfId="163"/>
    <cellStyle name="40% - Accent1 2 3 3 2" xfId="2822"/>
    <cellStyle name="40% - Accent1 2 3 3 3" xfId="2487"/>
    <cellStyle name="40% - Accent1 2 3 4" xfId="164"/>
    <cellStyle name="40% - Accent1 2 3 4 2" xfId="2823"/>
    <cellStyle name="40% - Accent1 2 3 4 3" xfId="2295"/>
    <cellStyle name="40% - Accent1 2 3 5" xfId="2819"/>
    <cellStyle name="40% - Accent1 2 3 6" xfId="2180"/>
    <cellStyle name="40% - Accent1 2 4" xfId="165"/>
    <cellStyle name="40% - Accent1 2 4 2" xfId="166"/>
    <cellStyle name="40% - Accent1 2 4 2 2" xfId="2825"/>
    <cellStyle name="40% - Accent1 2 4 2 3" xfId="2553"/>
    <cellStyle name="40% - Accent1 2 4 3" xfId="2824"/>
    <cellStyle name="40% - Accent1 2 4 4" xfId="2361"/>
    <cellStyle name="40% - Accent1 2 5" xfId="167"/>
    <cellStyle name="40% - Accent1 2 5 2" xfId="2826"/>
    <cellStyle name="40% - Accent1 2 5 3" xfId="2456"/>
    <cellStyle name="40% - Accent1 2 6" xfId="168"/>
    <cellStyle name="40% - Accent1 2 6 2" xfId="2827"/>
    <cellStyle name="40% - Accent1 2 6 3" xfId="2638"/>
    <cellStyle name="40% - Accent1 2 7" xfId="169"/>
    <cellStyle name="40% - Accent1 2 7 2" xfId="2828"/>
    <cellStyle name="40% - Accent1 2 7 3" xfId="2264"/>
    <cellStyle name="40% - Accent1 2 8" xfId="2814"/>
    <cellStyle name="40% - Accent1 2 9" xfId="1807"/>
    <cellStyle name="40% - Accent1 3" xfId="170"/>
    <cellStyle name="40% - Accent1 3 2" xfId="171"/>
    <cellStyle name="40% - Accent1 3 2 2" xfId="2830"/>
    <cellStyle name="40% - Accent1 3 2 3" xfId="1809"/>
    <cellStyle name="40% - Accent1 3 3" xfId="172"/>
    <cellStyle name="40% - Accent1 3 3 2" xfId="2831"/>
    <cellStyle name="40% - Accent1 3 3 3" xfId="1810"/>
    <cellStyle name="40% - Accent1 3 4" xfId="2829"/>
    <cellStyle name="40% - Accent1 3 5" xfId="1808"/>
    <cellStyle name="40% - Accent1 4" xfId="173"/>
    <cellStyle name="40% - Accent1 4 2" xfId="2832"/>
    <cellStyle name="40% - Accent1 4 3" xfId="1811"/>
    <cellStyle name="40% - Accent1 5" xfId="174"/>
    <cellStyle name="40% - Accent1 5 2" xfId="2833"/>
    <cellStyle name="40% - Accent1 5 3" xfId="1812"/>
    <cellStyle name="40% - Accent1 6" xfId="175"/>
    <cellStyle name="40% - Accent1 6 2" xfId="2834"/>
    <cellStyle name="40% - Accent1 6 3" xfId="1813"/>
    <cellStyle name="40% - Accent1 7" xfId="176"/>
    <cellStyle name="40% - Accent1 7 2" xfId="2835"/>
    <cellStyle name="40% - Accent1 7 3" xfId="1814"/>
    <cellStyle name="40% - Accent1 8" xfId="177"/>
    <cellStyle name="40% - Accent1 8 2" xfId="2836"/>
    <cellStyle name="40% - Accent1 8 3" xfId="1815"/>
    <cellStyle name="40% - Accent1 9" xfId="178"/>
    <cellStyle name="40% - Accent1 9 2" xfId="2837"/>
    <cellStyle name="40% - Accent1 9 3" xfId="1816"/>
    <cellStyle name="40% - Accent2 2" xfId="179"/>
    <cellStyle name="40% - Accent2 2 2" xfId="180"/>
    <cellStyle name="40% - Accent2 2 2 2" xfId="181"/>
    <cellStyle name="40% - Accent2 2 2 2 2" xfId="182"/>
    <cellStyle name="40% - Accent2 2 2 2 2 2" xfId="2840"/>
    <cellStyle name="40% - Accent2 2 2 2 2 3" xfId="2602"/>
    <cellStyle name="40% - Accent2 2 2 2 3" xfId="2839"/>
    <cellStyle name="40% - Accent2 2 2 2 4" xfId="2410"/>
    <cellStyle name="40% - Accent2 2 2 3" xfId="183"/>
    <cellStyle name="40% - Accent2 2 2 3 2" xfId="2841"/>
    <cellStyle name="40% - Accent2 2 2 3 3" xfId="2505"/>
    <cellStyle name="40% - Accent2 2 2 4" xfId="184"/>
    <cellStyle name="40% - Accent2 2 2 4 2" xfId="2842"/>
    <cellStyle name="40% - Accent2 2 2 4 3" xfId="2313"/>
    <cellStyle name="40% - Accent2 2 3" xfId="185"/>
    <cellStyle name="40% - Accent2 2 3 2" xfId="186"/>
    <cellStyle name="40% - Accent2 2 3 2 2" xfId="187"/>
    <cellStyle name="40% - Accent2 2 3 2 2 2" xfId="2845"/>
    <cellStyle name="40% - Accent2 2 3 2 2 3" xfId="2585"/>
    <cellStyle name="40% - Accent2 2 3 2 3" xfId="2844"/>
    <cellStyle name="40% - Accent2 2 3 2 4" xfId="2393"/>
    <cellStyle name="40% - Accent2 2 3 3" xfId="188"/>
    <cellStyle name="40% - Accent2 2 3 3 2" xfId="2846"/>
    <cellStyle name="40% - Accent2 2 3 3 3" xfId="2488"/>
    <cellStyle name="40% - Accent2 2 3 4" xfId="189"/>
    <cellStyle name="40% - Accent2 2 3 4 2" xfId="2847"/>
    <cellStyle name="40% - Accent2 2 3 4 3" xfId="2296"/>
    <cellStyle name="40% - Accent2 2 3 5" xfId="2843"/>
    <cellStyle name="40% - Accent2 2 3 6" xfId="2181"/>
    <cellStyle name="40% - Accent2 2 4" xfId="190"/>
    <cellStyle name="40% - Accent2 2 4 2" xfId="191"/>
    <cellStyle name="40% - Accent2 2 4 2 2" xfId="2849"/>
    <cellStyle name="40% - Accent2 2 4 2 3" xfId="2554"/>
    <cellStyle name="40% - Accent2 2 4 3" xfId="2848"/>
    <cellStyle name="40% - Accent2 2 4 4" xfId="2362"/>
    <cellStyle name="40% - Accent2 2 5" xfId="192"/>
    <cellStyle name="40% - Accent2 2 5 2" xfId="2850"/>
    <cellStyle name="40% - Accent2 2 5 3" xfId="2457"/>
    <cellStyle name="40% - Accent2 2 6" xfId="193"/>
    <cellStyle name="40% - Accent2 2 6 2" xfId="2851"/>
    <cellStyle name="40% - Accent2 2 6 3" xfId="2639"/>
    <cellStyle name="40% - Accent2 2 7" xfId="194"/>
    <cellStyle name="40% - Accent2 2 7 2" xfId="2852"/>
    <cellStyle name="40% - Accent2 2 7 3" xfId="2265"/>
    <cellStyle name="40% - Accent2 2 8" xfId="2838"/>
    <cellStyle name="40% - Accent2 2 9" xfId="1817"/>
    <cellStyle name="40% - Accent2 3" xfId="195"/>
    <cellStyle name="40% - Accent2 3 2" xfId="196"/>
    <cellStyle name="40% - Accent2 3 2 2" xfId="2854"/>
    <cellStyle name="40% - Accent2 3 2 3" xfId="1819"/>
    <cellStyle name="40% - Accent2 3 3" xfId="197"/>
    <cellStyle name="40% - Accent2 3 3 2" xfId="2855"/>
    <cellStyle name="40% - Accent2 3 3 3" xfId="1820"/>
    <cellStyle name="40% - Accent2 3 4" xfId="2853"/>
    <cellStyle name="40% - Accent2 3 5" xfId="1818"/>
    <cellStyle name="40% - Accent2 4" xfId="198"/>
    <cellStyle name="40% - Accent2 4 2" xfId="2856"/>
    <cellStyle name="40% - Accent2 4 3" xfId="1821"/>
    <cellStyle name="40% - Accent2 5" xfId="199"/>
    <cellStyle name="40% - Accent2 5 2" xfId="2857"/>
    <cellStyle name="40% - Accent2 5 3" xfId="1822"/>
    <cellStyle name="40% - Accent2 6" xfId="200"/>
    <cellStyle name="40% - Accent2 6 2" xfId="2858"/>
    <cellStyle name="40% - Accent2 6 3" xfId="1823"/>
    <cellStyle name="40% - Accent2 7" xfId="201"/>
    <cellStyle name="40% - Accent2 7 2" xfId="2859"/>
    <cellStyle name="40% - Accent2 7 3" xfId="1824"/>
    <cellStyle name="40% - Accent2 8" xfId="202"/>
    <cellStyle name="40% - Accent2 8 2" xfId="2860"/>
    <cellStyle name="40% - Accent2 8 3" xfId="1825"/>
    <cellStyle name="40% - Accent2 9" xfId="203"/>
    <cellStyle name="40% - Accent2 9 2" xfId="2861"/>
    <cellStyle name="40% - Accent2 9 3" xfId="1826"/>
    <cellStyle name="40% - Accent3 2" xfId="204"/>
    <cellStyle name="40% - Accent3 2 2" xfId="205"/>
    <cellStyle name="40% - Accent3 2 2 2" xfId="206"/>
    <cellStyle name="40% - Accent3 2 2 2 2" xfId="207"/>
    <cellStyle name="40% - Accent3 2 2 2 2 2" xfId="2864"/>
    <cellStyle name="40% - Accent3 2 2 2 2 3" xfId="2603"/>
    <cellStyle name="40% - Accent3 2 2 2 3" xfId="2863"/>
    <cellStyle name="40% - Accent3 2 2 2 4" xfId="2411"/>
    <cellStyle name="40% - Accent3 2 2 3" xfId="208"/>
    <cellStyle name="40% - Accent3 2 2 3 2" xfId="2865"/>
    <cellStyle name="40% - Accent3 2 2 3 3" xfId="2506"/>
    <cellStyle name="40% - Accent3 2 2 4" xfId="209"/>
    <cellStyle name="40% - Accent3 2 2 4 2" xfId="2866"/>
    <cellStyle name="40% - Accent3 2 2 4 3" xfId="2314"/>
    <cellStyle name="40% - Accent3 2 3" xfId="210"/>
    <cellStyle name="40% - Accent3 2 3 2" xfId="211"/>
    <cellStyle name="40% - Accent3 2 3 2 2" xfId="212"/>
    <cellStyle name="40% - Accent3 2 3 2 2 2" xfId="2869"/>
    <cellStyle name="40% - Accent3 2 3 2 2 3" xfId="2586"/>
    <cellStyle name="40% - Accent3 2 3 2 3" xfId="2868"/>
    <cellStyle name="40% - Accent3 2 3 2 4" xfId="2394"/>
    <cellStyle name="40% - Accent3 2 3 3" xfId="213"/>
    <cellStyle name="40% - Accent3 2 3 3 2" xfId="2870"/>
    <cellStyle name="40% - Accent3 2 3 3 3" xfId="2489"/>
    <cellStyle name="40% - Accent3 2 3 4" xfId="214"/>
    <cellStyle name="40% - Accent3 2 3 4 2" xfId="2871"/>
    <cellStyle name="40% - Accent3 2 3 4 3" xfId="2297"/>
    <cellStyle name="40% - Accent3 2 3 5" xfId="2867"/>
    <cellStyle name="40% - Accent3 2 3 6" xfId="2182"/>
    <cellStyle name="40% - Accent3 2 4" xfId="215"/>
    <cellStyle name="40% - Accent3 2 4 2" xfId="216"/>
    <cellStyle name="40% - Accent3 2 4 2 2" xfId="2873"/>
    <cellStyle name="40% - Accent3 2 4 2 3" xfId="2555"/>
    <cellStyle name="40% - Accent3 2 4 3" xfId="2872"/>
    <cellStyle name="40% - Accent3 2 4 4" xfId="2363"/>
    <cellStyle name="40% - Accent3 2 5" xfId="217"/>
    <cellStyle name="40% - Accent3 2 5 2" xfId="2874"/>
    <cellStyle name="40% - Accent3 2 5 3" xfId="2458"/>
    <cellStyle name="40% - Accent3 2 6" xfId="218"/>
    <cellStyle name="40% - Accent3 2 6 2" xfId="2875"/>
    <cellStyle name="40% - Accent3 2 6 3" xfId="2640"/>
    <cellStyle name="40% - Accent3 2 7" xfId="219"/>
    <cellStyle name="40% - Accent3 2 7 2" xfId="2876"/>
    <cellStyle name="40% - Accent3 2 7 3" xfId="2266"/>
    <cellStyle name="40% - Accent3 2 8" xfId="2862"/>
    <cellStyle name="40% - Accent3 2 9" xfId="1827"/>
    <cellStyle name="40% - Accent3 3" xfId="220"/>
    <cellStyle name="40% - Accent3 3 2" xfId="221"/>
    <cellStyle name="40% - Accent3 3 2 2" xfId="2878"/>
    <cellStyle name="40% - Accent3 3 2 3" xfId="1829"/>
    <cellStyle name="40% - Accent3 3 3" xfId="222"/>
    <cellStyle name="40% - Accent3 3 3 2" xfId="2879"/>
    <cellStyle name="40% - Accent3 3 3 3" xfId="1830"/>
    <cellStyle name="40% - Accent3 3 4" xfId="2877"/>
    <cellStyle name="40% - Accent3 3 5" xfId="1828"/>
    <cellStyle name="40% - Accent3 4" xfId="223"/>
    <cellStyle name="40% - Accent3 4 2" xfId="2880"/>
    <cellStyle name="40% - Accent3 4 3" xfId="1831"/>
    <cellStyle name="40% - Accent3 5" xfId="224"/>
    <cellStyle name="40% - Accent3 5 2" xfId="2881"/>
    <cellStyle name="40% - Accent3 5 3" xfId="1832"/>
    <cellStyle name="40% - Accent3 6" xfId="225"/>
    <cellStyle name="40% - Accent3 6 2" xfId="2882"/>
    <cellStyle name="40% - Accent3 6 3" xfId="1833"/>
    <cellStyle name="40% - Accent3 7" xfId="226"/>
    <cellStyle name="40% - Accent3 7 2" xfId="2883"/>
    <cellStyle name="40% - Accent3 7 3" xfId="1834"/>
    <cellStyle name="40% - Accent3 8" xfId="227"/>
    <cellStyle name="40% - Accent3 8 2" xfId="2884"/>
    <cellStyle name="40% - Accent3 8 3" xfId="1835"/>
    <cellStyle name="40% - Accent3 9" xfId="228"/>
    <cellStyle name="40% - Accent3 9 2" xfId="2885"/>
    <cellStyle name="40% - Accent3 9 3" xfId="1836"/>
    <cellStyle name="40% - Accent4 2" xfId="229"/>
    <cellStyle name="40% - Accent4 2 2" xfId="230"/>
    <cellStyle name="40% - Accent4 2 2 2" xfId="231"/>
    <cellStyle name="40% - Accent4 2 2 2 2" xfId="232"/>
    <cellStyle name="40% - Accent4 2 2 2 2 2" xfId="2888"/>
    <cellStyle name="40% - Accent4 2 2 2 2 3" xfId="2604"/>
    <cellStyle name="40% - Accent4 2 2 2 3" xfId="2887"/>
    <cellStyle name="40% - Accent4 2 2 2 4" xfId="2412"/>
    <cellStyle name="40% - Accent4 2 2 3" xfId="233"/>
    <cellStyle name="40% - Accent4 2 2 3 2" xfId="2889"/>
    <cellStyle name="40% - Accent4 2 2 3 3" xfId="2507"/>
    <cellStyle name="40% - Accent4 2 2 4" xfId="234"/>
    <cellStyle name="40% - Accent4 2 2 4 2" xfId="2890"/>
    <cellStyle name="40% - Accent4 2 2 4 3" xfId="2315"/>
    <cellStyle name="40% - Accent4 2 3" xfId="235"/>
    <cellStyle name="40% - Accent4 2 3 2" xfId="236"/>
    <cellStyle name="40% - Accent4 2 3 2 2" xfId="237"/>
    <cellStyle name="40% - Accent4 2 3 2 2 2" xfId="2893"/>
    <cellStyle name="40% - Accent4 2 3 2 2 3" xfId="2587"/>
    <cellStyle name="40% - Accent4 2 3 2 3" xfId="2892"/>
    <cellStyle name="40% - Accent4 2 3 2 4" xfId="2395"/>
    <cellStyle name="40% - Accent4 2 3 3" xfId="238"/>
    <cellStyle name="40% - Accent4 2 3 3 2" xfId="2894"/>
    <cellStyle name="40% - Accent4 2 3 3 3" xfId="2490"/>
    <cellStyle name="40% - Accent4 2 3 4" xfId="239"/>
    <cellStyle name="40% - Accent4 2 3 4 2" xfId="2895"/>
    <cellStyle name="40% - Accent4 2 3 4 3" xfId="2298"/>
    <cellStyle name="40% - Accent4 2 3 5" xfId="2891"/>
    <cellStyle name="40% - Accent4 2 3 6" xfId="2183"/>
    <cellStyle name="40% - Accent4 2 4" xfId="240"/>
    <cellStyle name="40% - Accent4 2 4 2" xfId="241"/>
    <cellStyle name="40% - Accent4 2 4 2 2" xfId="2897"/>
    <cellStyle name="40% - Accent4 2 4 2 3" xfId="2556"/>
    <cellStyle name="40% - Accent4 2 4 3" xfId="2896"/>
    <cellStyle name="40% - Accent4 2 4 4" xfId="2364"/>
    <cellStyle name="40% - Accent4 2 5" xfId="242"/>
    <cellStyle name="40% - Accent4 2 5 2" xfId="2898"/>
    <cellStyle name="40% - Accent4 2 5 3" xfId="2459"/>
    <cellStyle name="40% - Accent4 2 6" xfId="243"/>
    <cellStyle name="40% - Accent4 2 6 2" xfId="2899"/>
    <cellStyle name="40% - Accent4 2 6 3" xfId="2641"/>
    <cellStyle name="40% - Accent4 2 7" xfId="244"/>
    <cellStyle name="40% - Accent4 2 7 2" xfId="2900"/>
    <cellStyle name="40% - Accent4 2 7 3" xfId="2267"/>
    <cellStyle name="40% - Accent4 2 8" xfId="2886"/>
    <cellStyle name="40% - Accent4 2 9" xfId="1837"/>
    <cellStyle name="40% - Accent4 3" xfId="245"/>
    <cellStyle name="40% - Accent4 3 2" xfId="246"/>
    <cellStyle name="40% - Accent4 3 2 2" xfId="2902"/>
    <cellStyle name="40% - Accent4 3 2 3" xfId="1839"/>
    <cellStyle name="40% - Accent4 3 3" xfId="247"/>
    <cellStyle name="40% - Accent4 3 3 2" xfId="2903"/>
    <cellStyle name="40% - Accent4 3 3 3" xfId="1840"/>
    <cellStyle name="40% - Accent4 3 4" xfId="2901"/>
    <cellStyle name="40% - Accent4 3 5" xfId="1838"/>
    <cellStyle name="40% - Accent4 4" xfId="248"/>
    <cellStyle name="40% - Accent4 4 2" xfId="2904"/>
    <cellStyle name="40% - Accent4 4 3" xfId="1841"/>
    <cellStyle name="40% - Accent4 5" xfId="249"/>
    <cellStyle name="40% - Accent4 5 2" xfId="2905"/>
    <cellStyle name="40% - Accent4 5 3" xfId="1842"/>
    <cellStyle name="40% - Accent4 6" xfId="250"/>
    <cellStyle name="40% - Accent4 6 2" xfId="2906"/>
    <cellStyle name="40% - Accent4 6 3" xfId="1843"/>
    <cellStyle name="40% - Accent4 7" xfId="251"/>
    <cellStyle name="40% - Accent4 7 2" xfId="2907"/>
    <cellStyle name="40% - Accent4 7 3" xfId="1844"/>
    <cellStyle name="40% - Accent4 8" xfId="252"/>
    <cellStyle name="40% - Accent4 8 2" xfId="2908"/>
    <cellStyle name="40% - Accent4 8 3" xfId="1845"/>
    <cellStyle name="40% - Accent4 9" xfId="253"/>
    <cellStyle name="40% - Accent4 9 2" xfId="2909"/>
    <cellStyle name="40% - Accent4 9 3" xfId="1846"/>
    <cellStyle name="40% - Accent5 2" xfId="254"/>
    <cellStyle name="40% - Accent5 2 2" xfId="255"/>
    <cellStyle name="40% - Accent5 2 2 2" xfId="256"/>
    <cellStyle name="40% - Accent5 2 2 2 2" xfId="257"/>
    <cellStyle name="40% - Accent5 2 2 2 2 2" xfId="2912"/>
    <cellStyle name="40% - Accent5 2 2 2 2 3" xfId="2605"/>
    <cellStyle name="40% - Accent5 2 2 2 3" xfId="2911"/>
    <cellStyle name="40% - Accent5 2 2 2 4" xfId="2413"/>
    <cellStyle name="40% - Accent5 2 2 3" xfId="258"/>
    <cellStyle name="40% - Accent5 2 2 3 2" xfId="2913"/>
    <cellStyle name="40% - Accent5 2 2 3 3" xfId="2508"/>
    <cellStyle name="40% - Accent5 2 2 4" xfId="259"/>
    <cellStyle name="40% - Accent5 2 2 4 2" xfId="2914"/>
    <cellStyle name="40% - Accent5 2 2 4 3" xfId="2316"/>
    <cellStyle name="40% - Accent5 2 3" xfId="260"/>
    <cellStyle name="40% - Accent5 2 3 2" xfId="261"/>
    <cellStyle name="40% - Accent5 2 3 2 2" xfId="262"/>
    <cellStyle name="40% - Accent5 2 3 2 2 2" xfId="2917"/>
    <cellStyle name="40% - Accent5 2 3 2 2 3" xfId="2588"/>
    <cellStyle name="40% - Accent5 2 3 2 3" xfId="2916"/>
    <cellStyle name="40% - Accent5 2 3 2 4" xfId="2396"/>
    <cellStyle name="40% - Accent5 2 3 3" xfId="263"/>
    <cellStyle name="40% - Accent5 2 3 3 2" xfId="2918"/>
    <cellStyle name="40% - Accent5 2 3 3 3" xfId="2491"/>
    <cellStyle name="40% - Accent5 2 3 4" xfId="264"/>
    <cellStyle name="40% - Accent5 2 3 4 2" xfId="2919"/>
    <cellStyle name="40% - Accent5 2 3 4 3" xfId="2299"/>
    <cellStyle name="40% - Accent5 2 3 5" xfId="2915"/>
    <cellStyle name="40% - Accent5 2 3 6" xfId="2184"/>
    <cellStyle name="40% - Accent5 2 4" xfId="265"/>
    <cellStyle name="40% - Accent5 2 4 2" xfId="266"/>
    <cellStyle name="40% - Accent5 2 4 2 2" xfId="2921"/>
    <cellStyle name="40% - Accent5 2 4 2 3" xfId="2557"/>
    <cellStyle name="40% - Accent5 2 4 3" xfId="2920"/>
    <cellStyle name="40% - Accent5 2 4 4" xfId="2365"/>
    <cellStyle name="40% - Accent5 2 5" xfId="267"/>
    <cellStyle name="40% - Accent5 2 5 2" xfId="2922"/>
    <cellStyle name="40% - Accent5 2 5 3" xfId="2460"/>
    <cellStyle name="40% - Accent5 2 6" xfId="268"/>
    <cellStyle name="40% - Accent5 2 6 2" xfId="2923"/>
    <cellStyle name="40% - Accent5 2 6 3" xfId="2642"/>
    <cellStyle name="40% - Accent5 2 7" xfId="269"/>
    <cellStyle name="40% - Accent5 2 7 2" xfId="2924"/>
    <cellStyle name="40% - Accent5 2 7 3" xfId="2268"/>
    <cellStyle name="40% - Accent5 2 8" xfId="2910"/>
    <cellStyle name="40% - Accent5 2 9" xfId="1847"/>
    <cellStyle name="40% - Accent5 3" xfId="270"/>
    <cellStyle name="40% - Accent5 3 2" xfId="271"/>
    <cellStyle name="40% - Accent5 3 2 2" xfId="2926"/>
    <cellStyle name="40% - Accent5 3 2 3" xfId="1849"/>
    <cellStyle name="40% - Accent5 3 3" xfId="272"/>
    <cellStyle name="40% - Accent5 3 3 2" xfId="2927"/>
    <cellStyle name="40% - Accent5 3 3 3" xfId="1850"/>
    <cellStyle name="40% - Accent5 3 4" xfId="2925"/>
    <cellStyle name="40% - Accent5 3 5" xfId="1848"/>
    <cellStyle name="40% - Accent5 4" xfId="273"/>
    <cellStyle name="40% - Accent5 4 2" xfId="2928"/>
    <cellStyle name="40% - Accent5 4 3" xfId="1851"/>
    <cellStyle name="40% - Accent5 5" xfId="274"/>
    <cellStyle name="40% - Accent5 5 2" xfId="2929"/>
    <cellStyle name="40% - Accent5 5 3" xfId="1852"/>
    <cellStyle name="40% - Accent5 6" xfId="275"/>
    <cellStyle name="40% - Accent5 6 2" xfId="2930"/>
    <cellStyle name="40% - Accent5 6 3" xfId="1853"/>
    <cellStyle name="40% - Accent5 7" xfId="276"/>
    <cellStyle name="40% - Accent5 7 2" xfId="2931"/>
    <cellStyle name="40% - Accent5 7 3" xfId="1854"/>
    <cellStyle name="40% - Accent5 8" xfId="277"/>
    <cellStyle name="40% - Accent5 8 2" xfId="2932"/>
    <cellStyle name="40% - Accent5 8 3" xfId="1855"/>
    <cellStyle name="40% - Accent5 9" xfId="278"/>
    <cellStyle name="40% - Accent5 9 2" xfId="2933"/>
    <cellStyle name="40% - Accent5 9 3" xfId="1856"/>
    <cellStyle name="40% - Accent6 2" xfId="279"/>
    <cellStyle name="40% - Accent6 2 2" xfId="280"/>
    <cellStyle name="40% - Accent6 2 2 2" xfId="281"/>
    <cellStyle name="40% - Accent6 2 2 2 2" xfId="282"/>
    <cellStyle name="40% - Accent6 2 2 2 2 2" xfId="2936"/>
    <cellStyle name="40% - Accent6 2 2 2 2 3" xfId="2606"/>
    <cellStyle name="40% - Accent6 2 2 2 3" xfId="2935"/>
    <cellStyle name="40% - Accent6 2 2 2 4" xfId="2414"/>
    <cellStyle name="40% - Accent6 2 2 3" xfId="283"/>
    <cellStyle name="40% - Accent6 2 2 3 2" xfId="2937"/>
    <cellStyle name="40% - Accent6 2 2 3 3" xfId="2509"/>
    <cellStyle name="40% - Accent6 2 2 4" xfId="284"/>
    <cellStyle name="40% - Accent6 2 2 4 2" xfId="2938"/>
    <cellStyle name="40% - Accent6 2 2 4 3" xfId="2317"/>
    <cellStyle name="40% - Accent6 2 3" xfId="285"/>
    <cellStyle name="40% - Accent6 2 3 2" xfId="286"/>
    <cellStyle name="40% - Accent6 2 3 2 2" xfId="287"/>
    <cellStyle name="40% - Accent6 2 3 2 2 2" xfId="2941"/>
    <cellStyle name="40% - Accent6 2 3 2 2 3" xfId="2589"/>
    <cellStyle name="40% - Accent6 2 3 2 3" xfId="2940"/>
    <cellStyle name="40% - Accent6 2 3 2 4" xfId="2397"/>
    <cellStyle name="40% - Accent6 2 3 3" xfId="288"/>
    <cellStyle name="40% - Accent6 2 3 3 2" xfId="2942"/>
    <cellStyle name="40% - Accent6 2 3 3 3" xfId="2492"/>
    <cellStyle name="40% - Accent6 2 3 4" xfId="289"/>
    <cellStyle name="40% - Accent6 2 3 4 2" xfId="2943"/>
    <cellStyle name="40% - Accent6 2 3 4 3" xfId="2300"/>
    <cellStyle name="40% - Accent6 2 3 5" xfId="2939"/>
    <cellStyle name="40% - Accent6 2 3 6" xfId="2185"/>
    <cellStyle name="40% - Accent6 2 4" xfId="290"/>
    <cellStyle name="40% - Accent6 2 4 2" xfId="291"/>
    <cellStyle name="40% - Accent6 2 4 2 2" xfId="2945"/>
    <cellStyle name="40% - Accent6 2 4 2 3" xfId="2558"/>
    <cellStyle name="40% - Accent6 2 4 3" xfId="2944"/>
    <cellStyle name="40% - Accent6 2 4 4" xfId="2366"/>
    <cellStyle name="40% - Accent6 2 5" xfId="292"/>
    <cellStyle name="40% - Accent6 2 5 2" xfId="2946"/>
    <cellStyle name="40% - Accent6 2 5 3" xfId="2461"/>
    <cellStyle name="40% - Accent6 2 6" xfId="293"/>
    <cellStyle name="40% - Accent6 2 6 2" xfId="2947"/>
    <cellStyle name="40% - Accent6 2 6 3" xfId="2643"/>
    <cellStyle name="40% - Accent6 2 7" xfId="294"/>
    <cellStyle name="40% - Accent6 2 7 2" xfId="2948"/>
    <cellStyle name="40% - Accent6 2 7 3" xfId="2269"/>
    <cellStyle name="40% - Accent6 2 8" xfId="2934"/>
    <cellStyle name="40% - Accent6 2 9" xfId="1857"/>
    <cellStyle name="40% - Accent6 3" xfId="295"/>
    <cellStyle name="40% - Accent6 3 2" xfId="296"/>
    <cellStyle name="40% - Accent6 3 2 2" xfId="2950"/>
    <cellStyle name="40% - Accent6 3 2 3" xfId="1859"/>
    <cellStyle name="40% - Accent6 3 3" xfId="297"/>
    <cellStyle name="40% - Accent6 3 3 2" xfId="2951"/>
    <cellStyle name="40% - Accent6 3 3 3" xfId="1860"/>
    <cellStyle name="40% - Accent6 3 4" xfId="2949"/>
    <cellStyle name="40% - Accent6 3 5" xfId="1858"/>
    <cellStyle name="40% - Accent6 4" xfId="298"/>
    <cellStyle name="40% - Accent6 4 2" xfId="2952"/>
    <cellStyle name="40% - Accent6 4 3" xfId="1861"/>
    <cellStyle name="40% - Accent6 5" xfId="299"/>
    <cellStyle name="40% - Accent6 5 2" xfId="2953"/>
    <cellStyle name="40% - Accent6 5 3" xfId="1862"/>
    <cellStyle name="40% - Accent6 6" xfId="300"/>
    <cellStyle name="40% - Accent6 6 2" xfId="2954"/>
    <cellStyle name="40% - Accent6 6 3" xfId="1863"/>
    <cellStyle name="40% - Accent6 7" xfId="301"/>
    <cellStyle name="40% - Accent6 7 2" xfId="2955"/>
    <cellStyle name="40% - Accent6 7 3" xfId="1864"/>
    <cellStyle name="40% - Accent6 8" xfId="302"/>
    <cellStyle name="40% - Accent6 8 2" xfId="2956"/>
    <cellStyle name="40% - Accent6 8 3" xfId="1865"/>
    <cellStyle name="40% - Accent6 9" xfId="303"/>
    <cellStyle name="40% - Accent6 9 2" xfId="2957"/>
    <cellStyle name="40% - Accent6 9 3" xfId="1866"/>
    <cellStyle name="60% - Accent1 2" xfId="304"/>
    <cellStyle name="60% - Accent1 2 2" xfId="305"/>
    <cellStyle name="60% - Accent1 3" xfId="306"/>
    <cellStyle name="60% - Accent2 2" xfId="307"/>
    <cellStyle name="60% - Accent2 2 2" xfId="308"/>
    <cellStyle name="60% - Accent2 3" xfId="309"/>
    <cellStyle name="60% - Accent3 2" xfId="310"/>
    <cellStyle name="60% - Accent3 2 2" xfId="311"/>
    <cellStyle name="60% - Accent3 3" xfId="312"/>
    <cellStyle name="60% - Accent4 2" xfId="313"/>
    <cellStyle name="60% - Accent4 2 2" xfId="314"/>
    <cellStyle name="60% - Accent4 3" xfId="315"/>
    <cellStyle name="60% - Accent5 2" xfId="316"/>
    <cellStyle name="60% - Accent5 2 2" xfId="317"/>
    <cellStyle name="60% - Accent5 3" xfId="318"/>
    <cellStyle name="60% - Accent6 2" xfId="319"/>
    <cellStyle name="60% - Accent6 2 2" xfId="320"/>
    <cellStyle name="60% - Accent6 3" xfId="321"/>
    <cellStyle name="Accent1 2" xfId="322"/>
    <cellStyle name="Accent1 2 2" xfId="323"/>
    <cellStyle name="Accent1 3" xfId="324"/>
    <cellStyle name="Accent2 2" xfId="325"/>
    <cellStyle name="Accent2 2 2" xfId="326"/>
    <cellStyle name="Accent2 3" xfId="327"/>
    <cellStyle name="Accent3 2" xfId="328"/>
    <cellStyle name="Accent3 2 2" xfId="329"/>
    <cellStyle name="Accent3 3" xfId="330"/>
    <cellStyle name="Accent4 2" xfId="331"/>
    <cellStyle name="Accent4 2 2" xfId="332"/>
    <cellStyle name="Accent4 3" xfId="333"/>
    <cellStyle name="Accent5 2" xfId="334"/>
    <cellStyle name="Accent5 3" xfId="335"/>
    <cellStyle name="Accent6 2" xfId="336"/>
    <cellStyle name="Accent6 2 2" xfId="337"/>
    <cellStyle name="Accent6 3" xfId="338"/>
    <cellStyle name="Bad 2" xfId="339"/>
    <cellStyle name="Bad 2 2" xfId="340"/>
    <cellStyle name="Bad 3" xfId="341"/>
    <cellStyle name="Calculation 2" xfId="342"/>
    <cellStyle name="Calculation 2 2" xfId="343"/>
    <cellStyle name="Calculation 2 3" xfId="2958"/>
    <cellStyle name="Calculation 3" xfId="344"/>
    <cellStyle name="Check Cell 2" xfId="345"/>
    <cellStyle name="Check Cell 3" xfId="346"/>
    <cellStyle name="Comma 10" xfId="3"/>
    <cellStyle name="Comma 10 2" xfId="347"/>
    <cellStyle name="Comma 10 2 2" xfId="2959"/>
    <cellStyle name="Comma 10 2 3" xfId="1868"/>
    <cellStyle name="Comma 10 3" xfId="348"/>
    <cellStyle name="Comma 10 3 2" xfId="349"/>
    <cellStyle name="Comma 10 3 2 2" xfId="2961"/>
    <cellStyle name="Comma 10 3 2 3" xfId="2172"/>
    <cellStyle name="Comma 10 3 3" xfId="2960"/>
    <cellStyle name="Comma 10 3 4" xfId="2167"/>
    <cellStyle name="Comma 10 4" xfId="350"/>
    <cellStyle name="Comma 10 4 2" xfId="2962"/>
    <cellStyle name="Comma 10 4 3" xfId="2221"/>
    <cellStyle name="Comma 10 5" xfId="351"/>
    <cellStyle name="Comma 10 5 2" xfId="2963"/>
    <cellStyle name="Comma 10 5 3" xfId="2243"/>
    <cellStyle name="Comma 10 6" xfId="2669"/>
    <cellStyle name="Comma 10 7" xfId="1867"/>
    <cellStyle name="Comma 11" xfId="352"/>
    <cellStyle name="Comma 11 2" xfId="353"/>
    <cellStyle name="Comma 11 2 2" xfId="2965"/>
    <cellStyle name="Comma 11 2 3" xfId="1870"/>
    <cellStyle name="Comma 11 3" xfId="2964"/>
    <cellStyle name="Comma 11 4" xfId="1869"/>
    <cellStyle name="Comma 12" xfId="354"/>
    <cellStyle name="Comma 12 2" xfId="355"/>
    <cellStyle name="Comma 12 2 2" xfId="2967"/>
    <cellStyle name="Comma 12 2 3" xfId="1872"/>
    <cellStyle name="Comma 12 3" xfId="2966"/>
    <cellStyle name="Comma 12 4" xfId="1871"/>
    <cellStyle name="Comma 13" xfId="356"/>
    <cellStyle name="Comma 13 2" xfId="357"/>
    <cellStyle name="Comma 13 2 2" xfId="2969"/>
    <cellStyle name="Comma 13 2 3" xfId="1874"/>
    <cellStyle name="Comma 13 3" xfId="2968"/>
    <cellStyle name="Comma 13 4" xfId="1873"/>
    <cellStyle name="Comma 14" xfId="358"/>
    <cellStyle name="Comma 14 2" xfId="359"/>
    <cellStyle name="Comma 15" xfId="360"/>
    <cellStyle name="Comma 15 2" xfId="361"/>
    <cellStyle name="Comma 15 2 2" xfId="2971"/>
    <cellStyle name="Comma 15 2 3" xfId="1876"/>
    <cellStyle name="Comma 15 3" xfId="2970"/>
    <cellStyle name="Comma 15 4" xfId="1875"/>
    <cellStyle name="Comma 16" xfId="362"/>
    <cellStyle name="Comma 16 2" xfId="363"/>
    <cellStyle name="Comma 17" xfId="364"/>
    <cellStyle name="Comma 17 2" xfId="365"/>
    <cellStyle name="Comma 17 2 2" xfId="2973"/>
    <cellStyle name="Comma 17 2 3" xfId="1878"/>
    <cellStyle name="Comma 17 3" xfId="2972"/>
    <cellStyle name="Comma 17 4" xfId="1877"/>
    <cellStyle name="Comma 18" xfId="366"/>
    <cellStyle name="Comma 18 2" xfId="367"/>
    <cellStyle name="Comma 19" xfId="368"/>
    <cellStyle name="Comma 2" xfId="369"/>
    <cellStyle name="Comma 2 2" xfId="370"/>
    <cellStyle name="Comma 2 2 2" xfId="371"/>
    <cellStyle name="Comma 2 3" xfId="372"/>
    <cellStyle name="Comma 2 3 2" xfId="373"/>
    <cellStyle name="Comma 2 4" xfId="374"/>
    <cellStyle name="Comma 2 4 2" xfId="375"/>
    <cellStyle name="Comma 2 5" xfId="376"/>
    <cellStyle name="Comma 2 6" xfId="377"/>
    <cellStyle name="Comma 2 7" xfId="378"/>
    <cellStyle name="Comma 2 7 2" xfId="2975"/>
    <cellStyle name="Comma 2 7 3" xfId="2217"/>
    <cellStyle name="Comma 2 8" xfId="2974"/>
    <cellStyle name="Comma 2 9" xfId="1744"/>
    <cellStyle name="Comma 20" xfId="379"/>
    <cellStyle name="Comma 21" xfId="380"/>
    <cellStyle name="Comma 22" xfId="381"/>
    <cellStyle name="Comma 22 2" xfId="2976"/>
    <cellStyle name="Comma 22 3" xfId="1879"/>
    <cellStyle name="Comma 23" xfId="382"/>
    <cellStyle name="Comma 23 2" xfId="2977"/>
    <cellStyle name="Comma 23 3" xfId="1880"/>
    <cellStyle name="Comma 24" xfId="383"/>
    <cellStyle name="Comma 24 2" xfId="2978"/>
    <cellStyle name="Comma 24 3" xfId="1881"/>
    <cellStyle name="Comma 25" xfId="384"/>
    <cellStyle name="Comma 25 2" xfId="2979"/>
    <cellStyle name="Comma 25 3" xfId="1882"/>
    <cellStyle name="Comma 26" xfId="385"/>
    <cellStyle name="Comma 26 2" xfId="2980"/>
    <cellStyle name="Comma 26 3" xfId="1883"/>
    <cellStyle name="Comma 27" xfId="386"/>
    <cellStyle name="Comma 28" xfId="387"/>
    <cellStyle name="Comma 29" xfId="388"/>
    <cellStyle name="Comma 29 2" xfId="2981"/>
    <cellStyle name="Comma 29 3" xfId="2158"/>
    <cellStyle name="Comma 3" xfId="389"/>
    <cellStyle name="Comma 3 10" xfId="390"/>
    <cellStyle name="Comma 3 10 2" xfId="2983"/>
    <cellStyle name="Comma 3 10 3" xfId="1885"/>
    <cellStyle name="Comma 3 11" xfId="391"/>
    <cellStyle name="Comma 3 11 2" xfId="2984"/>
    <cellStyle name="Comma 3 11 3" xfId="1886"/>
    <cellStyle name="Comma 3 12" xfId="392"/>
    <cellStyle name="Comma 3 12 2" xfId="2985"/>
    <cellStyle name="Comma 3 12 3" xfId="1887"/>
    <cellStyle name="Comma 3 13" xfId="393"/>
    <cellStyle name="Comma 3 13 2" xfId="2986"/>
    <cellStyle name="Comma 3 13 3" xfId="1888"/>
    <cellStyle name="Comma 3 14" xfId="394"/>
    <cellStyle name="Comma 3 15" xfId="395"/>
    <cellStyle name="Comma 3 15 2" xfId="2987"/>
    <cellStyle name="Comma 3 15 3" xfId="2253"/>
    <cellStyle name="Comma 3 16" xfId="2982"/>
    <cellStyle name="Comma 3 17" xfId="1884"/>
    <cellStyle name="Comma 3 2" xfId="396"/>
    <cellStyle name="Comma 3 2 2" xfId="397"/>
    <cellStyle name="Comma 3 3" xfId="398"/>
    <cellStyle name="Comma 3 3 2" xfId="399"/>
    <cellStyle name="Comma 3 3 2 2" xfId="400"/>
    <cellStyle name="Comma 3 3 2 2 2" xfId="2990"/>
    <cellStyle name="Comma 3 3 2 2 3" xfId="2607"/>
    <cellStyle name="Comma 3 3 2 3" xfId="401"/>
    <cellStyle name="Comma 3 3 2 3 2" xfId="2991"/>
    <cellStyle name="Comma 3 3 2 3 3" xfId="2415"/>
    <cellStyle name="Comma 3 3 2 4" xfId="2989"/>
    <cellStyle name="Comma 3 3 2 5" xfId="1890"/>
    <cellStyle name="Comma 3 3 3" xfId="402"/>
    <cellStyle name="Comma 3 3 3 2" xfId="2992"/>
    <cellStyle name="Comma 3 3 3 3" xfId="2510"/>
    <cellStyle name="Comma 3 3 4" xfId="403"/>
    <cellStyle name="Comma 3 3 4 2" xfId="2993"/>
    <cellStyle name="Comma 3 3 4 3" xfId="2318"/>
    <cellStyle name="Comma 3 3 5" xfId="2988"/>
    <cellStyle name="Comma 3 3 6" xfId="1889"/>
    <cellStyle name="Comma 3 4" xfId="404"/>
    <cellStyle name="Comma 3 4 2" xfId="405"/>
    <cellStyle name="Comma 3 4 2 2" xfId="406"/>
    <cellStyle name="Comma 3 4 2 2 2" xfId="2996"/>
    <cellStyle name="Comma 3 4 2 2 3" xfId="2571"/>
    <cellStyle name="Comma 3 4 2 3" xfId="407"/>
    <cellStyle name="Comma 3 4 2 3 2" xfId="2997"/>
    <cellStyle name="Comma 3 4 2 3 3" xfId="2379"/>
    <cellStyle name="Comma 3 4 2 4" xfId="2995"/>
    <cellStyle name="Comma 3 4 2 5" xfId="1892"/>
    <cellStyle name="Comma 3 4 3" xfId="408"/>
    <cellStyle name="Comma 3 4 3 2" xfId="2998"/>
    <cellStyle name="Comma 3 4 3 3" xfId="2474"/>
    <cellStyle name="Comma 3 4 4" xfId="409"/>
    <cellStyle name="Comma 3 4 4 2" xfId="2999"/>
    <cellStyle name="Comma 3 4 4 3" xfId="2282"/>
    <cellStyle name="Comma 3 4 5" xfId="2994"/>
    <cellStyle name="Comma 3 4 6" xfId="1891"/>
    <cellStyle name="Comma 3 5" xfId="410"/>
    <cellStyle name="Comma 3 5 2" xfId="411"/>
    <cellStyle name="Comma 3 5 2 2" xfId="412"/>
    <cellStyle name="Comma 3 5 2 2 2" xfId="3002"/>
    <cellStyle name="Comma 3 5 2 2 3" xfId="2542"/>
    <cellStyle name="Comma 3 5 2 3" xfId="3001"/>
    <cellStyle name="Comma 3 5 2 4" xfId="1894"/>
    <cellStyle name="Comma 3 5 3" xfId="413"/>
    <cellStyle name="Comma 3 5 3 2" xfId="3003"/>
    <cellStyle name="Comma 3 5 3 3" xfId="2350"/>
    <cellStyle name="Comma 3 5 4" xfId="3000"/>
    <cellStyle name="Comma 3 5 5" xfId="1893"/>
    <cellStyle name="Comma 3 6" xfId="414"/>
    <cellStyle name="Comma 3 6 2" xfId="415"/>
    <cellStyle name="Comma 3 6 2 2" xfId="3005"/>
    <cellStyle name="Comma 3 6 2 3" xfId="1896"/>
    <cellStyle name="Comma 3 6 3" xfId="416"/>
    <cellStyle name="Comma 3 6 3 2" xfId="3006"/>
    <cellStyle name="Comma 3 6 3 3" xfId="2445"/>
    <cellStyle name="Comma 3 6 4" xfId="3004"/>
    <cellStyle name="Comma 3 6 5" xfId="1895"/>
    <cellStyle name="Comma 3 7" xfId="417"/>
    <cellStyle name="Comma 3 7 2" xfId="418"/>
    <cellStyle name="Comma 3 7 2 2" xfId="3008"/>
    <cellStyle name="Comma 3 7 2 3" xfId="1898"/>
    <cellStyle name="Comma 3 7 3" xfId="419"/>
    <cellStyle name="Comma 3 7 3 2" xfId="3009"/>
    <cellStyle name="Comma 3 7 3 3" xfId="2644"/>
    <cellStyle name="Comma 3 7 4" xfId="3007"/>
    <cellStyle name="Comma 3 7 5" xfId="1897"/>
    <cellStyle name="Comma 3 8" xfId="420"/>
    <cellStyle name="Comma 3 8 2" xfId="421"/>
    <cellStyle name="Comma 3 8 2 2" xfId="3011"/>
    <cellStyle name="Comma 3 8 2 3" xfId="1900"/>
    <cellStyle name="Comma 3 8 3" xfId="3010"/>
    <cellStyle name="Comma 3 8 4" xfId="1899"/>
    <cellStyle name="Comma 3 9" xfId="422"/>
    <cellStyle name="Comma 3 9 2" xfId="423"/>
    <cellStyle name="Comma 3 9 2 2" xfId="3013"/>
    <cellStyle name="Comma 3 9 2 3" xfId="1902"/>
    <cellStyle name="Comma 3 9 3" xfId="3012"/>
    <cellStyle name="Comma 3 9 4" xfId="1901"/>
    <cellStyle name="Comma 30" xfId="424"/>
    <cellStyle name="Comma 31" xfId="425"/>
    <cellStyle name="Comma 32" xfId="426"/>
    <cellStyle name="Comma 32 2" xfId="3014"/>
    <cellStyle name="Comma 32 3" xfId="2230"/>
    <cellStyle name="Comma 33" xfId="427"/>
    <cellStyle name="Comma 33 2" xfId="3015"/>
    <cellStyle name="Comma 33 3" xfId="2234"/>
    <cellStyle name="Comma 34" xfId="428"/>
    <cellStyle name="Comma 34 2" xfId="3016"/>
    <cellStyle name="Comma 34 3" xfId="2237"/>
    <cellStyle name="Comma 35" xfId="3619"/>
    <cellStyle name="Comma 4" xfId="429"/>
    <cellStyle name="Comma 4 2" xfId="430"/>
    <cellStyle name="Comma 4 3" xfId="431"/>
    <cellStyle name="Comma 4 4" xfId="3017"/>
    <cellStyle name="Comma 4 5" xfId="1903"/>
    <cellStyle name="Comma 5" xfId="432"/>
    <cellStyle name="Comma 5 2" xfId="433"/>
    <cellStyle name="Comma 5 3" xfId="434"/>
    <cellStyle name="Comma 5 4" xfId="435"/>
    <cellStyle name="Comma 5 5" xfId="3018"/>
    <cellStyle name="Comma 5 6" xfId="1904"/>
    <cellStyle name="Comma 6" xfId="436"/>
    <cellStyle name="Comma 6 2" xfId="437"/>
    <cellStyle name="Comma 6 2 2" xfId="438"/>
    <cellStyle name="Comma 6 2 2 2" xfId="3020"/>
    <cellStyle name="Comma 6 2 2 3" xfId="2593"/>
    <cellStyle name="Comma 6 2 3" xfId="439"/>
    <cellStyle name="Comma 6 2 3 2" xfId="3021"/>
    <cellStyle name="Comma 6 2 3 3" xfId="2401"/>
    <cellStyle name="Comma 6 3" xfId="440"/>
    <cellStyle name="Comma 6 3 2" xfId="3022"/>
    <cellStyle name="Comma 6 3 3" xfId="2496"/>
    <cellStyle name="Comma 6 4" xfId="441"/>
    <cellStyle name="Comma 6 4 2" xfId="3023"/>
    <cellStyle name="Comma 6 4 3" xfId="2630"/>
    <cellStyle name="Comma 6 5" xfId="442"/>
    <cellStyle name="Comma 6 5 2" xfId="3024"/>
    <cellStyle name="Comma 6 5 3" xfId="2304"/>
    <cellStyle name="Comma 6 6" xfId="3019"/>
    <cellStyle name="Comma 6 7" xfId="1905"/>
    <cellStyle name="Comma 7" xfId="443"/>
    <cellStyle name="Comma 7 10" xfId="444"/>
    <cellStyle name="Comma 7 11" xfId="3025"/>
    <cellStyle name="Comma 7 12" xfId="1906"/>
    <cellStyle name="Comma 7 2" xfId="445"/>
    <cellStyle name="Comma 7 2 2" xfId="446"/>
    <cellStyle name="Comma 7 2 2 2" xfId="3027"/>
    <cellStyle name="Comma 7 2 2 3" xfId="1908"/>
    <cellStyle name="Comma 7 2 3" xfId="3026"/>
    <cellStyle name="Comma 7 2 4" xfId="1907"/>
    <cellStyle name="Comma 7 3" xfId="447"/>
    <cellStyle name="Comma 7 3 2" xfId="448"/>
    <cellStyle name="Comma 7 3 2 2" xfId="3029"/>
    <cellStyle name="Comma 7 3 2 3" xfId="1910"/>
    <cellStyle name="Comma 7 3 3" xfId="3028"/>
    <cellStyle name="Comma 7 3 4" xfId="1909"/>
    <cellStyle name="Comma 7 4" xfId="449"/>
    <cellStyle name="Comma 7 4 2" xfId="450"/>
    <cellStyle name="Comma 7 4 2 2" xfId="3031"/>
    <cellStyle name="Comma 7 4 2 3" xfId="1912"/>
    <cellStyle name="Comma 7 4 3" xfId="3030"/>
    <cellStyle name="Comma 7 4 4" xfId="1911"/>
    <cellStyle name="Comma 7 5" xfId="451"/>
    <cellStyle name="Comma 7 5 2" xfId="452"/>
    <cellStyle name="Comma 7 5 2 2" xfId="3033"/>
    <cellStyle name="Comma 7 5 2 3" xfId="1914"/>
    <cellStyle name="Comma 7 5 3" xfId="3032"/>
    <cellStyle name="Comma 7 5 4" xfId="1913"/>
    <cellStyle name="Comma 7 6" xfId="453"/>
    <cellStyle name="Comma 7 6 2" xfId="454"/>
    <cellStyle name="Comma 7 6 2 2" xfId="3035"/>
    <cellStyle name="Comma 7 6 2 3" xfId="1916"/>
    <cellStyle name="Comma 7 6 3" xfId="3034"/>
    <cellStyle name="Comma 7 6 4" xfId="1915"/>
    <cellStyle name="Comma 7 7" xfId="455"/>
    <cellStyle name="Comma 7 7 2" xfId="3036"/>
    <cellStyle name="Comma 7 7 3" xfId="1917"/>
    <cellStyle name="Comma 7 8" xfId="456"/>
    <cellStyle name="Comma 7 8 2" xfId="3037"/>
    <cellStyle name="Comma 7 8 3" xfId="1918"/>
    <cellStyle name="Comma 7 9" xfId="457"/>
    <cellStyle name="Comma 7 9 2" xfId="3038"/>
    <cellStyle name="Comma 7 9 3" xfId="1919"/>
    <cellStyle name="Comma 8" xfId="458"/>
    <cellStyle name="Comma 8 2" xfId="459"/>
    <cellStyle name="Comma 9" xfId="460"/>
    <cellStyle name="Comma 9 2" xfId="461"/>
    <cellStyle name="Comma 9 2 2" xfId="3040"/>
    <cellStyle name="Comma 9 2 3" xfId="1921"/>
    <cellStyle name="Comma 9 3" xfId="3039"/>
    <cellStyle name="Comma 9 4" xfId="1920"/>
    <cellStyle name="Comma0" xfId="462"/>
    <cellStyle name="Comma0 - Style4" xfId="463"/>
    <cellStyle name="Comma1 - Style1" xfId="464"/>
    <cellStyle name="Curren - Style2" xfId="465"/>
    <cellStyle name="Currency 10" xfId="466"/>
    <cellStyle name="Currency 10 2" xfId="467"/>
    <cellStyle name="Currency 11" xfId="468"/>
    <cellStyle name="Currency 11 2" xfId="469"/>
    <cellStyle name="Currency 12" xfId="470"/>
    <cellStyle name="Currency 13" xfId="471"/>
    <cellStyle name="Currency 14" xfId="472"/>
    <cellStyle name="Currency 15" xfId="2"/>
    <cellStyle name="Currency 15 2" xfId="473"/>
    <cellStyle name="Currency 15 2 2" xfId="474"/>
    <cellStyle name="Currency 15 2 2 2" xfId="3042"/>
    <cellStyle name="Currency 15 2 2 3" xfId="2171"/>
    <cellStyle name="Currency 15 2 3" xfId="3041"/>
    <cellStyle name="Currency 15 2 4" xfId="2166"/>
    <cellStyle name="Currency 15 3" xfId="475"/>
    <cellStyle name="Currency 15 3 2" xfId="3043"/>
    <cellStyle name="Currency 15 3 3" xfId="2232"/>
    <cellStyle name="Currency 15 4" xfId="476"/>
    <cellStyle name="Currency 15 4 2" xfId="3044"/>
    <cellStyle name="Currency 15 4 3" xfId="2245"/>
    <cellStyle name="Currency 15 5" xfId="2668"/>
    <cellStyle name="Currency 15 6" xfId="1922"/>
    <cellStyle name="Currency 16" xfId="477"/>
    <cellStyle name="Currency 16 2" xfId="3045"/>
    <cellStyle name="Currency 16 3" xfId="1923"/>
    <cellStyle name="Currency 17" xfId="478"/>
    <cellStyle name="Currency 17 2" xfId="3046"/>
    <cellStyle name="Currency 17 3" xfId="1924"/>
    <cellStyle name="Currency 18" xfId="479"/>
    <cellStyle name="Currency 18 2" xfId="3047"/>
    <cellStyle name="Currency 18 3" xfId="1925"/>
    <cellStyle name="Currency 19" xfId="480"/>
    <cellStyle name="Currency 2" xfId="481"/>
    <cellStyle name="Currency 2 10" xfId="1745"/>
    <cellStyle name="Currency 2 2" xfId="482"/>
    <cellStyle name="Currency 2 2 2" xfId="483"/>
    <cellStyle name="Currency 2 2 2 2" xfId="484"/>
    <cellStyle name="Currency 2 2 2 2 2" xfId="3050"/>
    <cellStyle name="Currency 2 2 2 2 3" xfId="2608"/>
    <cellStyle name="Currency 2 2 2 3" xfId="3049"/>
    <cellStyle name="Currency 2 2 2 4" xfId="2416"/>
    <cellStyle name="Currency 2 2 3" xfId="485"/>
    <cellStyle name="Currency 2 2 3 2" xfId="3051"/>
    <cellStyle name="Currency 2 2 3 3" xfId="2511"/>
    <cellStyle name="Currency 2 2 4" xfId="486"/>
    <cellStyle name="Currency 2 2 4 2" xfId="3052"/>
    <cellStyle name="Currency 2 2 4 3" xfId="2319"/>
    <cellStyle name="Currency 2 3" xfId="487"/>
    <cellStyle name="Currency 2 3 2" xfId="488"/>
    <cellStyle name="Currency 2 3 2 2" xfId="489"/>
    <cellStyle name="Currency 2 3 2 2 2" xfId="3054"/>
    <cellStyle name="Currency 2 3 2 2 3" xfId="2566"/>
    <cellStyle name="Currency 2 3 2 3" xfId="3053"/>
    <cellStyle name="Currency 2 3 2 4" xfId="2374"/>
    <cellStyle name="Currency 2 3 3" xfId="490"/>
    <cellStyle name="Currency 2 3 3 2" xfId="3055"/>
    <cellStyle name="Currency 2 3 3 3" xfId="2469"/>
    <cellStyle name="Currency 2 3 4" xfId="491"/>
    <cellStyle name="Currency 2 3 4 2" xfId="3056"/>
    <cellStyle name="Currency 2 3 4 3" xfId="2277"/>
    <cellStyle name="Currency 2 4" xfId="492"/>
    <cellStyle name="Currency 2 4 2" xfId="493"/>
    <cellStyle name="Currency 2 4 2 2" xfId="3058"/>
    <cellStyle name="Currency 2 4 2 3" xfId="2537"/>
    <cellStyle name="Currency 2 4 3" xfId="494"/>
    <cellStyle name="Currency 2 4 3 2" xfId="3059"/>
    <cellStyle name="Currency 2 4 3 3" xfId="2345"/>
    <cellStyle name="Currency 2 4 4" xfId="3057"/>
    <cellStyle name="Currency 2 4 5" xfId="2225"/>
    <cellStyle name="Currency 2 5" xfId="495"/>
    <cellStyle name="Currency 2 6" xfId="496"/>
    <cellStyle name="Currency 2 6 2" xfId="3060"/>
    <cellStyle name="Currency 2 6 3" xfId="2440"/>
    <cellStyle name="Currency 2 7" xfId="497"/>
    <cellStyle name="Currency 2 7 2" xfId="3061"/>
    <cellStyle name="Currency 2 7 3" xfId="2645"/>
    <cellStyle name="Currency 2 8" xfId="498"/>
    <cellStyle name="Currency 2 8 2" xfId="3062"/>
    <cellStyle name="Currency 2 8 3" xfId="2248"/>
    <cellStyle name="Currency 2 9" xfId="3048"/>
    <cellStyle name="Currency 20" xfId="499"/>
    <cellStyle name="Currency 20 2" xfId="3063"/>
    <cellStyle name="Currency 20 3" xfId="2163"/>
    <cellStyle name="Currency 21" xfId="500"/>
    <cellStyle name="Currency 22" xfId="501"/>
    <cellStyle name="Currency 22 2" xfId="3064"/>
    <cellStyle name="Currency 23" xfId="502"/>
    <cellStyle name="Currency 23 2" xfId="3065"/>
    <cellStyle name="Currency 23 3" xfId="2231"/>
    <cellStyle name="Currency 24" xfId="503"/>
    <cellStyle name="Currency 24 2" xfId="3066"/>
    <cellStyle name="Currency 24 3" xfId="2238"/>
    <cellStyle name="Currency 25" xfId="3620"/>
    <cellStyle name="Currency 3" xfId="504"/>
    <cellStyle name="Currency 3 10" xfId="505"/>
    <cellStyle name="Currency 3 10 2" xfId="3068"/>
    <cellStyle name="Currency 3 10 3" xfId="1927"/>
    <cellStyle name="Currency 3 11" xfId="506"/>
    <cellStyle name="Currency 3 12" xfId="507"/>
    <cellStyle name="Currency 3 12 2" xfId="3069"/>
    <cellStyle name="Currency 3 12 3" xfId="2228"/>
    <cellStyle name="Currency 3 13" xfId="508"/>
    <cellStyle name="Currency 3 13 2" xfId="3070"/>
    <cellStyle name="Currency 3 13 3" xfId="2251"/>
    <cellStyle name="Currency 3 14" xfId="3067"/>
    <cellStyle name="Currency 3 15" xfId="1926"/>
    <cellStyle name="Currency 3 2" xfId="509"/>
    <cellStyle name="Currency 3 2 2" xfId="510"/>
    <cellStyle name="Currency 3 2 2 2" xfId="511"/>
    <cellStyle name="Currency 3 2 2 2 2" xfId="3073"/>
    <cellStyle name="Currency 3 2 2 2 3" xfId="2609"/>
    <cellStyle name="Currency 3 2 2 3" xfId="512"/>
    <cellStyle name="Currency 3 2 2 3 2" xfId="3074"/>
    <cellStyle name="Currency 3 2 2 3 3" xfId="2417"/>
    <cellStyle name="Currency 3 2 2 4" xfId="3072"/>
    <cellStyle name="Currency 3 2 2 5" xfId="1929"/>
    <cellStyle name="Currency 3 2 3" xfId="513"/>
    <cellStyle name="Currency 3 2 3 2" xfId="3075"/>
    <cellStyle name="Currency 3 2 3 3" xfId="2512"/>
    <cellStyle name="Currency 3 2 4" xfId="514"/>
    <cellStyle name="Currency 3 2 4 2" xfId="3076"/>
    <cellStyle name="Currency 3 2 4 3" xfId="2320"/>
    <cellStyle name="Currency 3 2 5" xfId="3071"/>
    <cellStyle name="Currency 3 2 6" xfId="1928"/>
    <cellStyle name="Currency 3 3" xfId="515"/>
    <cellStyle name="Currency 3 3 2" xfId="516"/>
    <cellStyle name="Currency 3 3 2 2" xfId="517"/>
    <cellStyle name="Currency 3 3 2 2 2" xfId="3079"/>
    <cellStyle name="Currency 3 3 2 2 3" xfId="2569"/>
    <cellStyle name="Currency 3 3 2 3" xfId="518"/>
    <cellStyle name="Currency 3 3 2 3 2" xfId="3080"/>
    <cellStyle name="Currency 3 3 2 3 3" xfId="2377"/>
    <cellStyle name="Currency 3 3 2 4" xfId="3078"/>
    <cellStyle name="Currency 3 3 2 5" xfId="1931"/>
    <cellStyle name="Currency 3 3 3" xfId="519"/>
    <cellStyle name="Currency 3 3 3 2" xfId="3081"/>
    <cellStyle name="Currency 3 3 3 3" xfId="2472"/>
    <cellStyle name="Currency 3 3 4" xfId="520"/>
    <cellStyle name="Currency 3 3 4 2" xfId="3082"/>
    <cellStyle name="Currency 3 3 4 3" xfId="2280"/>
    <cellStyle name="Currency 3 3 5" xfId="3077"/>
    <cellStyle name="Currency 3 3 6" xfId="1930"/>
    <cellStyle name="Currency 3 4" xfId="521"/>
    <cellStyle name="Currency 3 4 2" xfId="522"/>
    <cellStyle name="Currency 3 4 2 2" xfId="523"/>
    <cellStyle name="Currency 3 4 2 2 2" xfId="3085"/>
    <cellStyle name="Currency 3 4 2 2 3" xfId="2540"/>
    <cellStyle name="Currency 3 4 2 3" xfId="3084"/>
    <cellStyle name="Currency 3 4 2 4" xfId="1933"/>
    <cellStyle name="Currency 3 4 3" xfId="524"/>
    <cellStyle name="Currency 3 4 3 2" xfId="3086"/>
    <cellStyle name="Currency 3 4 3 3" xfId="2348"/>
    <cellStyle name="Currency 3 4 4" xfId="3083"/>
    <cellStyle name="Currency 3 4 5" xfId="1932"/>
    <cellStyle name="Currency 3 5" xfId="525"/>
    <cellStyle name="Currency 3 5 2" xfId="526"/>
    <cellStyle name="Currency 3 5 2 2" xfId="3088"/>
    <cellStyle name="Currency 3 5 2 3" xfId="1935"/>
    <cellStyle name="Currency 3 5 3" xfId="527"/>
    <cellStyle name="Currency 3 5 3 2" xfId="3089"/>
    <cellStyle name="Currency 3 5 3 3" xfId="2443"/>
    <cellStyle name="Currency 3 5 4" xfId="3087"/>
    <cellStyle name="Currency 3 5 5" xfId="1934"/>
    <cellStyle name="Currency 3 6" xfId="528"/>
    <cellStyle name="Currency 3 6 2" xfId="529"/>
    <cellStyle name="Currency 3 6 2 2" xfId="3091"/>
    <cellStyle name="Currency 3 6 2 3" xfId="1937"/>
    <cellStyle name="Currency 3 6 3" xfId="530"/>
    <cellStyle name="Currency 3 6 3 2" xfId="3092"/>
    <cellStyle name="Currency 3 6 3 3" xfId="2646"/>
    <cellStyle name="Currency 3 6 4" xfId="3090"/>
    <cellStyle name="Currency 3 6 5" xfId="1936"/>
    <cellStyle name="Currency 3 7" xfId="531"/>
    <cellStyle name="Currency 3 7 2" xfId="532"/>
    <cellStyle name="Currency 3 7 2 2" xfId="3094"/>
    <cellStyle name="Currency 3 7 2 3" xfId="1939"/>
    <cellStyle name="Currency 3 7 3" xfId="3093"/>
    <cellStyle name="Currency 3 7 4" xfId="1938"/>
    <cellStyle name="Currency 3 8" xfId="533"/>
    <cellStyle name="Currency 3 8 2" xfId="3095"/>
    <cellStyle name="Currency 3 8 3" xfId="1940"/>
    <cellStyle name="Currency 3 9" xfId="534"/>
    <cellStyle name="Currency 3 9 2" xfId="3096"/>
    <cellStyle name="Currency 3 9 3" xfId="1941"/>
    <cellStyle name="Currency 4" xfId="535"/>
    <cellStyle name="Currency 4 2" xfId="536"/>
    <cellStyle name="Currency 4 3" xfId="537"/>
    <cellStyle name="Currency 5" xfId="538"/>
    <cellStyle name="Currency 5 2" xfId="539"/>
    <cellStyle name="Currency 6" xfId="540"/>
    <cellStyle name="Currency 6 2" xfId="541"/>
    <cellStyle name="Currency 6 2 2" xfId="3098"/>
    <cellStyle name="Currency 6 2 3" xfId="1943"/>
    <cellStyle name="Currency 6 3" xfId="3097"/>
    <cellStyle name="Currency 6 4" xfId="1942"/>
    <cellStyle name="Currency 7" xfId="542"/>
    <cellStyle name="Currency 7 2" xfId="543"/>
    <cellStyle name="Currency 7 2 2" xfId="3100"/>
    <cellStyle name="Currency 7 2 3" xfId="1945"/>
    <cellStyle name="Currency 7 3" xfId="3099"/>
    <cellStyle name="Currency 7 4" xfId="1944"/>
    <cellStyle name="Currency 8" xfId="544"/>
    <cellStyle name="Currency 8 2" xfId="545"/>
    <cellStyle name="Currency 8 2 2" xfId="3102"/>
    <cellStyle name="Currency 8 2 3" xfId="1947"/>
    <cellStyle name="Currency 8 3" xfId="3101"/>
    <cellStyle name="Currency 8 4" xfId="1946"/>
    <cellStyle name="Currency 9" xfId="546"/>
    <cellStyle name="Currency 9 2" xfId="547"/>
    <cellStyle name="Currency0" xfId="548"/>
    <cellStyle name="Date" xfId="549"/>
    <cellStyle name="Date 2" xfId="550"/>
    <cellStyle name="Days" xfId="551"/>
    <cellStyle name="Delphis" xfId="552"/>
    <cellStyle name="Entered" xfId="553"/>
    <cellStyle name="Excel Built-in Normal" xfId="554"/>
    <cellStyle name="Explanatory Text 2" xfId="555"/>
    <cellStyle name="Explanatory Text 3" xfId="556"/>
    <cellStyle name="Fixed" xfId="557"/>
    <cellStyle name="Formula" xfId="558"/>
    <cellStyle name="Good 2" xfId="559"/>
    <cellStyle name="Good 2 2" xfId="560"/>
    <cellStyle name="Good 3" xfId="561"/>
    <cellStyle name="Grey" xfId="562"/>
    <cellStyle name="Heading 1 2" xfId="563"/>
    <cellStyle name="Heading 1 2 2" xfId="564"/>
    <cellStyle name="Heading 1 3" xfId="565"/>
    <cellStyle name="Heading 2 2" xfId="566"/>
    <cellStyle name="Heading 2 2 2" xfId="567"/>
    <cellStyle name="Heading 2 3" xfId="568"/>
    <cellStyle name="Heading 3 2" xfId="569"/>
    <cellStyle name="Heading 3 2 2" xfId="570"/>
    <cellStyle name="Heading 3 2 2 2" xfId="3104"/>
    <cellStyle name="Heading 3 2 3" xfId="571"/>
    <cellStyle name="Heading 3 2 4" xfId="3103"/>
    <cellStyle name="Heading 3 3" xfId="572"/>
    <cellStyle name="Heading 4 2" xfId="573"/>
    <cellStyle name="Heading 4 2 2" xfId="574"/>
    <cellStyle name="Heading 4 3" xfId="575"/>
    <cellStyle name="Heading1" xfId="576"/>
    <cellStyle name="Heading2" xfId="577"/>
    <cellStyle name="Headings" xfId="578"/>
    <cellStyle name="Hidden" xfId="579"/>
    <cellStyle name="Hidden 2" xfId="580"/>
    <cellStyle name="Hidden 3" xfId="581"/>
    <cellStyle name="Hyperlink 2" xfId="582"/>
    <cellStyle name="Hyperlink 3" xfId="583"/>
    <cellStyle name="Hyperlink 4" xfId="584"/>
    <cellStyle name="Hyperlink 5" xfId="585"/>
    <cellStyle name="Input [yellow]" xfId="586"/>
    <cellStyle name="Input 10" xfId="587"/>
    <cellStyle name="Input 100" xfId="588"/>
    <cellStyle name="Input 101" xfId="589"/>
    <cellStyle name="Input 102" xfId="590"/>
    <cellStyle name="Input 103" xfId="591"/>
    <cellStyle name="Input 104" xfId="592"/>
    <cellStyle name="Input 105" xfId="593"/>
    <cellStyle name="Input 106" xfId="594"/>
    <cellStyle name="Input 107" xfId="595"/>
    <cellStyle name="Input 108" xfId="596"/>
    <cellStyle name="Input 109" xfId="597"/>
    <cellStyle name="Input 11" xfId="598"/>
    <cellStyle name="Input 110" xfId="599"/>
    <cellStyle name="Input 111" xfId="600"/>
    <cellStyle name="Input 112" xfId="601"/>
    <cellStyle name="Input 113" xfId="602"/>
    <cellStyle name="Input 114" xfId="603"/>
    <cellStyle name="Input 12" xfId="604"/>
    <cellStyle name="Input 13" xfId="605"/>
    <cellStyle name="Input 14" xfId="606"/>
    <cellStyle name="Input 15" xfId="607"/>
    <cellStyle name="Input 16" xfId="608"/>
    <cellStyle name="Input 17" xfId="609"/>
    <cellStyle name="Input 18" xfId="610"/>
    <cellStyle name="Input 19" xfId="611"/>
    <cellStyle name="Input 2" xfId="612"/>
    <cellStyle name="Input 2 2" xfId="613"/>
    <cellStyle name="Input 2 2 2" xfId="3105"/>
    <cellStyle name="Input 2 3" xfId="614"/>
    <cellStyle name="Input 2 4" xfId="615"/>
    <cellStyle name="Input 20" xfId="616"/>
    <cellStyle name="Input 21" xfId="617"/>
    <cellStyle name="Input 22" xfId="618"/>
    <cellStyle name="Input 23" xfId="619"/>
    <cellStyle name="Input 24" xfId="620"/>
    <cellStyle name="Input 25" xfId="621"/>
    <cellStyle name="Input 26" xfId="622"/>
    <cellStyle name="Input 27" xfId="623"/>
    <cellStyle name="Input 28" xfId="624"/>
    <cellStyle name="Input 29" xfId="625"/>
    <cellStyle name="Input 3" xfId="626"/>
    <cellStyle name="Input 30" xfId="627"/>
    <cellStyle name="Input 31" xfId="628"/>
    <cellStyle name="Input 32" xfId="629"/>
    <cellStyle name="Input 33" xfId="630"/>
    <cellStyle name="Input 34" xfId="631"/>
    <cellStyle name="Input 35" xfId="632"/>
    <cellStyle name="Input 36" xfId="633"/>
    <cellStyle name="Input 37" xfId="634"/>
    <cellStyle name="Input 38" xfId="635"/>
    <cellStyle name="Input 39" xfId="636"/>
    <cellStyle name="Input 4" xfId="637"/>
    <cellStyle name="Input 4 2" xfId="3106"/>
    <cellStyle name="Input 40" xfId="638"/>
    <cellStyle name="Input 41" xfId="639"/>
    <cellStyle name="Input 42" xfId="640"/>
    <cellStyle name="Input 43" xfId="641"/>
    <cellStyle name="Input 44" xfId="642"/>
    <cellStyle name="Input 45" xfId="643"/>
    <cellStyle name="Input 45 2" xfId="3107"/>
    <cellStyle name="Input 46" xfId="644"/>
    <cellStyle name="Input 47" xfId="645"/>
    <cellStyle name="Input 48" xfId="646"/>
    <cellStyle name="Input 49" xfId="647"/>
    <cellStyle name="Input 5" xfId="648"/>
    <cellStyle name="Input 50" xfId="649"/>
    <cellStyle name="Input 51" xfId="650"/>
    <cellStyle name="Input 52" xfId="651"/>
    <cellStyle name="Input 53" xfId="652"/>
    <cellStyle name="Input 54" xfId="653"/>
    <cellStyle name="Input 55" xfId="654"/>
    <cellStyle name="Input 56" xfId="655"/>
    <cellStyle name="Input 57" xfId="656"/>
    <cellStyle name="Input 58" xfId="657"/>
    <cellStyle name="Input 59" xfId="658"/>
    <cellStyle name="Input 6" xfId="659"/>
    <cellStyle name="Input 60" xfId="660"/>
    <cellStyle name="Input 61" xfId="661"/>
    <cellStyle name="Input 62" xfId="662"/>
    <cellStyle name="Input 63" xfId="663"/>
    <cellStyle name="Input 64" xfId="664"/>
    <cellStyle name="Input 65" xfId="665"/>
    <cellStyle name="Input 66" xfId="666"/>
    <cellStyle name="Input 67" xfId="667"/>
    <cellStyle name="Input 68" xfId="668"/>
    <cellStyle name="Input 69" xfId="669"/>
    <cellStyle name="Input 7" xfId="670"/>
    <cellStyle name="Input 70" xfId="671"/>
    <cellStyle name="Input 71" xfId="672"/>
    <cellStyle name="Input 72" xfId="673"/>
    <cellStyle name="Input 73" xfId="674"/>
    <cellStyle name="Input 74" xfId="675"/>
    <cellStyle name="Input 75" xfId="676"/>
    <cellStyle name="Input 76" xfId="677"/>
    <cellStyle name="Input 77" xfId="678"/>
    <cellStyle name="Input 78" xfId="679"/>
    <cellStyle name="Input 79" xfId="680"/>
    <cellStyle name="Input 8" xfId="681"/>
    <cellStyle name="Input 80" xfId="682"/>
    <cellStyle name="Input 81" xfId="683"/>
    <cellStyle name="Input 82" xfId="684"/>
    <cellStyle name="Input 83" xfId="685"/>
    <cellStyle name="Input 84" xfId="686"/>
    <cellStyle name="Input 85" xfId="687"/>
    <cellStyle name="Input 86" xfId="688"/>
    <cellStyle name="Input 87" xfId="689"/>
    <cellStyle name="Input 88" xfId="690"/>
    <cellStyle name="Input 89" xfId="691"/>
    <cellStyle name="Input 9" xfId="692"/>
    <cellStyle name="Input 90" xfId="693"/>
    <cellStyle name="Input 91" xfId="694"/>
    <cellStyle name="Input 92" xfId="695"/>
    <cellStyle name="Input 93" xfId="696"/>
    <cellStyle name="Input 94" xfId="697"/>
    <cellStyle name="Input 95" xfId="698"/>
    <cellStyle name="Input 96" xfId="699"/>
    <cellStyle name="Input 97" xfId="700"/>
    <cellStyle name="Input 98" xfId="701"/>
    <cellStyle name="Input 99" xfId="702"/>
    <cellStyle name="Input Year" xfId="703"/>
    <cellStyle name="Integer" xfId="704"/>
    <cellStyle name="Integer 2" xfId="2186"/>
    <cellStyle name="Linked Cell 2" xfId="705"/>
    <cellStyle name="Linked Cell 2 2" xfId="706"/>
    <cellStyle name="Linked Cell 3" xfId="707"/>
    <cellStyle name="Linked Data" xfId="708"/>
    <cellStyle name="Linked Data 2" xfId="709"/>
    <cellStyle name="Linked Data 3" xfId="710"/>
    <cellStyle name="Linked Data 4" xfId="711"/>
    <cellStyle name="Model Formula Ref Another Tab" xfId="712"/>
    <cellStyle name="Model Formula Ref Another Tab 2" xfId="713"/>
    <cellStyle name="Model Formula Ref Only Within Tab" xfId="714"/>
    <cellStyle name="Model Formula Ref Only Within Tab 2" xfId="715"/>
    <cellStyle name="Model Heading" xfId="716"/>
    <cellStyle name="Model Input" xfId="717"/>
    <cellStyle name="Model List" xfId="718"/>
    <cellStyle name="Model Sub Heading" xfId="719"/>
    <cellStyle name="Model Sub Heading 2" xfId="720"/>
    <cellStyle name="modified border" xfId="721"/>
    <cellStyle name="modified border 2" xfId="3108"/>
    <cellStyle name="modified border 3" xfId="1948"/>
    <cellStyle name="modified border1" xfId="722"/>
    <cellStyle name="Net Number" xfId="723"/>
    <cellStyle name="Net Number 2" xfId="724"/>
    <cellStyle name="Net Number 3" xfId="725"/>
    <cellStyle name="Net Number 4" xfId="726"/>
    <cellStyle name="Net Number 5" xfId="727"/>
    <cellStyle name="Neutral 2" xfId="728"/>
    <cellStyle name="Neutral 2 2" xfId="729"/>
    <cellStyle name="Neutral 3" xfId="730"/>
    <cellStyle name="Normal" xfId="0" builtinId="0" customBuiltin="1"/>
    <cellStyle name="Normal - Style1" xfId="731"/>
    <cellStyle name="Normal (no decimal)" xfId="732"/>
    <cellStyle name="Normal 10" xfId="1"/>
    <cellStyle name="Normal 10 2" xfId="733"/>
    <cellStyle name="Normal 10 2 2" xfId="734"/>
    <cellStyle name="Normal 10 2 2 2" xfId="735"/>
    <cellStyle name="Normal 10 2 2 2 2" xfId="3111"/>
    <cellStyle name="Normal 10 2 2 2 3" xfId="2610"/>
    <cellStyle name="Normal 10 2 2 3" xfId="3110"/>
    <cellStyle name="Normal 10 2 2 4" xfId="2418"/>
    <cellStyle name="Normal 10 2 3" xfId="736"/>
    <cellStyle name="Normal 10 2 3 2" xfId="3112"/>
    <cellStyle name="Normal 10 2 3 3" xfId="2513"/>
    <cellStyle name="Normal 10 2 4" xfId="737"/>
    <cellStyle name="Normal 10 2 4 2" xfId="3113"/>
    <cellStyle name="Normal 10 2 4 3" xfId="2321"/>
    <cellStyle name="Normal 10 2 5" xfId="3109"/>
    <cellStyle name="Normal 10 2 6" xfId="1950"/>
    <cellStyle name="Normal 10 3" xfId="738"/>
    <cellStyle name="Normal 10 3 2" xfId="739"/>
    <cellStyle name="Normal 10 3 2 2" xfId="740"/>
    <cellStyle name="Normal 10 3 2 2 2" xfId="3116"/>
    <cellStyle name="Normal 10 3 2 2 3" xfId="2573"/>
    <cellStyle name="Normal 10 3 2 3" xfId="741"/>
    <cellStyle name="Normal 10 3 2 3 2" xfId="3117"/>
    <cellStyle name="Normal 10 3 2 3 3" xfId="2381"/>
    <cellStyle name="Normal 10 3 2 4" xfId="3115"/>
    <cellStyle name="Normal 10 3 2 5" xfId="2169"/>
    <cellStyle name="Normal 10 3 3" xfId="742"/>
    <cellStyle name="Normal 10 3 3 2" xfId="3118"/>
    <cellStyle name="Normal 10 3 3 3" xfId="2476"/>
    <cellStyle name="Normal 10 3 4" xfId="743"/>
    <cellStyle name="Normal 10 3 4 2" xfId="3119"/>
    <cellStyle name="Normal 10 3 4 3" xfId="2284"/>
    <cellStyle name="Normal 10 3 5" xfId="3114"/>
    <cellStyle name="Normal 10 3 6" xfId="2165"/>
    <cellStyle name="Normal 10 4" xfId="744"/>
    <cellStyle name="Normal 10 4 2" xfId="745"/>
    <cellStyle name="Normal 10 4 2 2" xfId="3120"/>
    <cellStyle name="Normal 10 4 2 3" xfId="2544"/>
    <cellStyle name="Normal 10 4 3" xfId="746"/>
    <cellStyle name="Normal 10 4 3 2" xfId="3121"/>
    <cellStyle name="Normal 10 4 3 3" xfId="2352"/>
    <cellStyle name="Normal 10 5" xfId="747"/>
    <cellStyle name="Normal 10 5 2" xfId="748"/>
    <cellStyle name="Normal 10 5 2 2" xfId="3123"/>
    <cellStyle name="Normal 10 5 2 3" xfId="2447"/>
    <cellStyle name="Normal 10 5 3" xfId="3122"/>
    <cellStyle name="Normal 10 5 4" xfId="2222"/>
    <cellStyle name="Normal 10 6" xfId="749"/>
    <cellStyle name="Normal 10 6 2" xfId="750"/>
    <cellStyle name="Normal 10 6 2 2" xfId="3125"/>
    <cellStyle name="Normal 10 6 2 3" xfId="2647"/>
    <cellStyle name="Normal 10 6 3" xfId="3124"/>
    <cellStyle name="Normal 10 6 4" xfId="2242"/>
    <cellStyle name="Normal 10 7" xfId="751"/>
    <cellStyle name="Normal 10 7 2" xfId="3126"/>
    <cellStyle name="Normal 10 7 3" xfId="2255"/>
    <cellStyle name="Normal 10 8" xfId="2667"/>
    <cellStyle name="Normal 10 9" xfId="1949"/>
    <cellStyle name="Normal 100" xfId="752"/>
    <cellStyle name="Normal 101" xfId="753"/>
    <cellStyle name="Normal 102" xfId="754"/>
    <cellStyle name="Normal 103" xfId="755"/>
    <cellStyle name="Normal 104" xfId="756"/>
    <cellStyle name="Normal 105" xfId="757"/>
    <cellStyle name="Normal 106" xfId="758"/>
    <cellStyle name="Normal 107" xfId="759"/>
    <cellStyle name="Normal 108" xfId="760"/>
    <cellStyle name="Normal 109" xfId="761"/>
    <cellStyle name="Normal 11" xfId="762"/>
    <cellStyle name="Normal 11 2" xfId="763"/>
    <cellStyle name="Normal 11 2 2" xfId="3128"/>
    <cellStyle name="Normal 11 2 3" xfId="1952"/>
    <cellStyle name="Normal 11 3" xfId="764"/>
    <cellStyle name="Normal 11 4" xfId="765"/>
    <cellStyle name="Normal 11 5" xfId="3127"/>
    <cellStyle name="Normal 11 6" xfId="1951"/>
    <cellStyle name="Normal 110" xfId="766"/>
    <cellStyle name="Normal 111" xfId="767"/>
    <cellStyle name="Normal 112" xfId="768"/>
    <cellStyle name="Normal 113" xfId="769"/>
    <cellStyle name="Normal 114" xfId="770"/>
    <cellStyle name="Normal 115" xfId="771"/>
    <cellStyle name="Normal 116" xfId="772"/>
    <cellStyle name="Normal 117" xfId="773"/>
    <cellStyle name="Normal 118" xfId="774"/>
    <cellStyle name="Normal 119" xfId="775"/>
    <cellStyle name="Normal 12" xfId="776"/>
    <cellStyle name="Normal 12 2" xfId="777"/>
    <cellStyle name="Normal 12 2 2" xfId="3130"/>
    <cellStyle name="Normal 12 2 3" xfId="1954"/>
    <cellStyle name="Normal 12 3" xfId="778"/>
    <cellStyle name="Normal 12 4" xfId="779"/>
    <cellStyle name="Normal 12 5" xfId="3129"/>
    <cellStyle name="Normal 12 6" xfId="1953"/>
    <cellStyle name="Normal 120" xfId="780"/>
    <cellStyle name="Normal 121" xfId="781"/>
    <cellStyle name="Normal 122" xfId="782"/>
    <cellStyle name="Normal 123" xfId="783"/>
    <cellStyle name="Normal 124" xfId="784"/>
    <cellStyle name="Normal 125" xfId="785"/>
    <cellStyle name="Normal 126" xfId="786"/>
    <cellStyle name="Normal 127" xfId="787"/>
    <cellStyle name="Normal 128" xfId="788"/>
    <cellStyle name="Normal 129" xfId="789"/>
    <cellStyle name="Normal 13" xfId="790"/>
    <cellStyle name="Normal 13 2" xfId="791"/>
    <cellStyle name="Normal 13 2 2" xfId="3132"/>
    <cellStyle name="Normal 13 2 3" xfId="1956"/>
    <cellStyle name="Normal 13 3" xfId="792"/>
    <cellStyle name="Normal 13 4" xfId="3131"/>
    <cellStyle name="Normal 13 5" xfId="1955"/>
    <cellStyle name="Normal 130" xfId="793"/>
    <cellStyle name="Normal 131" xfId="794"/>
    <cellStyle name="Normal 132" xfId="795"/>
    <cellStyle name="Normal 133" xfId="796"/>
    <cellStyle name="Normal 134" xfId="797"/>
    <cellStyle name="Normal 135" xfId="798"/>
    <cellStyle name="Normal 136" xfId="799"/>
    <cellStyle name="Normal 137" xfId="800"/>
    <cellStyle name="Normal 138" xfId="801"/>
    <cellStyle name="Normal 139" xfId="802"/>
    <cellStyle name="Normal 14" xfId="803"/>
    <cellStyle name="Normal 14 2" xfId="804"/>
    <cellStyle name="Normal 14 2 2" xfId="3134"/>
    <cellStyle name="Normal 14 2 3" xfId="1958"/>
    <cellStyle name="Normal 14 3" xfId="805"/>
    <cellStyle name="Normal 14 4" xfId="3133"/>
    <cellStyle name="Normal 14 5" xfId="1957"/>
    <cellStyle name="Normal 140" xfId="806"/>
    <cellStyle name="Normal 141" xfId="807"/>
    <cellStyle name="Normal 142" xfId="808"/>
    <cellStyle name="Normal 143" xfId="809"/>
    <cellStyle name="Normal 144" xfId="810"/>
    <cellStyle name="Normal 145" xfId="811"/>
    <cellStyle name="Normal 146" xfId="812"/>
    <cellStyle name="Normal 147" xfId="813"/>
    <cellStyle name="Normal 148" xfId="814"/>
    <cellStyle name="Normal 149" xfId="815"/>
    <cellStyle name="Normal 15" xfId="816"/>
    <cellStyle name="Normal 15 2" xfId="817"/>
    <cellStyle name="Normal 150" xfId="818"/>
    <cellStyle name="Normal 151" xfId="819"/>
    <cellStyle name="Normal 152" xfId="820"/>
    <cellStyle name="Normal 153" xfId="821"/>
    <cellStyle name="Normal 154" xfId="822"/>
    <cellStyle name="Normal 155" xfId="823"/>
    <cellStyle name="Normal 156" xfId="824"/>
    <cellStyle name="Normal 157" xfId="825"/>
    <cellStyle name="Normal 158" xfId="826"/>
    <cellStyle name="Normal 159" xfId="827"/>
    <cellStyle name="Normal 16" xfId="828"/>
    <cellStyle name="Normal 16 2" xfId="829"/>
    <cellStyle name="Normal 16 2 2" xfId="3136"/>
    <cellStyle name="Normal 16 2 3" xfId="1960"/>
    <cellStyle name="Normal 16 3" xfId="830"/>
    <cellStyle name="Normal 16 4" xfId="3135"/>
    <cellStyle name="Normal 16 5" xfId="1959"/>
    <cellStyle name="Normal 160" xfId="831"/>
    <cellStyle name="Normal 161" xfId="832"/>
    <cellStyle name="Normal 162" xfId="833"/>
    <cellStyle name="Normal 163" xfId="834"/>
    <cellStyle name="Normal 164" xfId="835"/>
    <cellStyle name="Normal 165" xfId="836"/>
    <cellStyle name="Normal 166" xfId="837"/>
    <cellStyle name="Normal 167" xfId="838"/>
    <cellStyle name="Normal 168" xfId="839"/>
    <cellStyle name="Normal 169" xfId="840"/>
    <cellStyle name="Normal 17" xfId="841"/>
    <cellStyle name="Normal 17 2" xfId="842"/>
    <cellStyle name="Normal 17 2 2" xfId="3138"/>
    <cellStyle name="Normal 17 2 3" xfId="1962"/>
    <cellStyle name="Normal 17 3" xfId="843"/>
    <cellStyle name="Normal 17 4" xfId="3137"/>
    <cellStyle name="Normal 17 5" xfId="1961"/>
    <cellStyle name="Normal 170" xfId="844"/>
    <cellStyle name="Normal 171" xfId="845"/>
    <cellStyle name="Normal 172" xfId="846"/>
    <cellStyle name="Normal 173" xfId="847"/>
    <cellStyle name="Normal 174" xfId="848"/>
    <cellStyle name="Normal 175" xfId="849"/>
    <cellStyle name="Normal 176" xfId="850"/>
    <cellStyle name="Normal 177" xfId="851"/>
    <cellStyle name="Normal 178" xfId="852"/>
    <cellStyle name="Normal 179" xfId="853"/>
    <cellStyle name="Normal 18" xfId="854"/>
    <cellStyle name="Normal 18 2" xfId="855"/>
    <cellStyle name="Normal 18 2 2" xfId="856"/>
    <cellStyle name="Normal 18 2 3" xfId="3140"/>
    <cellStyle name="Normal 18 2 4" xfId="1964"/>
    <cellStyle name="Normal 18 3" xfId="857"/>
    <cellStyle name="Normal 18 4" xfId="3139"/>
    <cellStyle name="Normal 18 5" xfId="1963"/>
    <cellStyle name="Normal 180" xfId="858"/>
    <cellStyle name="Normal 181" xfId="859"/>
    <cellStyle name="Normal 182" xfId="860"/>
    <cellStyle name="Normal 183" xfId="861"/>
    <cellStyle name="Normal 184" xfId="862"/>
    <cellStyle name="Normal 185" xfId="863"/>
    <cellStyle name="Normal 186" xfId="864"/>
    <cellStyle name="Normal 187" xfId="865"/>
    <cellStyle name="Normal 188" xfId="866"/>
    <cellStyle name="Normal 189" xfId="867"/>
    <cellStyle name="Normal 19" xfId="868"/>
    <cellStyle name="Normal 19 2" xfId="869"/>
    <cellStyle name="Normal 19 2 2" xfId="870"/>
    <cellStyle name="Normal 19 2 3" xfId="3142"/>
    <cellStyle name="Normal 19 2 4" xfId="1966"/>
    <cellStyle name="Normal 19 3" xfId="871"/>
    <cellStyle name="Normal 19 4" xfId="3141"/>
    <cellStyle name="Normal 19 5" xfId="1965"/>
    <cellStyle name="Normal 190" xfId="872"/>
    <cellStyle name="Normal 191" xfId="873"/>
    <cellStyle name="Normal 192" xfId="874"/>
    <cellStyle name="Normal 193" xfId="875"/>
    <cellStyle name="Normal 194" xfId="876"/>
    <cellStyle name="Normal 195" xfId="877"/>
    <cellStyle name="Normal 196" xfId="878"/>
    <cellStyle name="Normal 196 2" xfId="3143"/>
    <cellStyle name="Normal 196 3" xfId="1967"/>
    <cellStyle name="Normal 197" xfId="879"/>
    <cellStyle name="Normal 197 2" xfId="3144"/>
    <cellStyle name="Normal 197 3" xfId="1968"/>
    <cellStyle name="Normal 198" xfId="880"/>
    <cellStyle name="Normal 198 2" xfId="3145"/>
    <cellStyle name="Normal 198 3" xfId="1969"/>
    <cellStyle name="Normal 199" xfId="881"/>
    <cellStyle name="Normal 199 2" xfId="3146"/>
    <cellStyle name="Normal 199 3" xfId="1970"/>
    <cellStyle name="Normal 2" xfId="882"/>
    <cellStyle name="Normal 2 10" xfId="883"/>
    <cellStyle name="Normal 2 11" xfId="884"/>
    <cellStyle name="Normal 2 11 2" xfId="3148"/>
    <cellStyle name="Normal 2 11 3" xfId="2438"/>
    <cellStyle name="Normal 2 12" xfId="885"/>
    <cellStyle name="Normal 2 12 2" xfId="3149"/>
    <cellStyle name="Normal 2 12 3" xfId="2648"/>
    <cellStyle name="Normal 2 13" xfId="886"/>
    <cellStyle name="Normal 2 13 2" xfId="3150"/>
    <cellStyle name="Normal 2 13 3" xfId="2246"/>
    <cellStyle name="Normal 2 14" xfId="3147"/>
    <cellStyle name="Normal 2 15" xfId="1743"/>
    <cellStyle name="Normal 2 2" xfId="887"/>
    <cellStyle name="Normal 2 2 2" xfId="888"/>
    <cellStyle name="Normal 2 2 2 2" xfId="889"/>
    <cellStyle name="Normal 2 2 2 2 2" xfId="890"/>
    <cellStyle name="Normal 2 2 2 2 2 2" xfId="3152"/>
    <cellStyle name="Normal 2 2 2 2 2 3" xfId="2612"/>
    <cellStyle name="Normal 2 2 2 2 3" xfId="3151"/>
    <cellStyle name="Normal 2 2 2 2 4" xfId="2420"/>
    <cellStyle name="Normal 2 2 2 3" xfId="891"/>
    <cellStyle name="Normal 2 2 2 3 2" xfId="3153"/>
    <cellStyle name="Normal 2 2 2 3 3" xfId="2515"/>
    <cellStyle name="Normal 2 2 2 4" xfId="892"/>
    <cellStyle name="Normal 2 2 2 4 2" xfId="3154"/>
    <cellStyle name="Normal 2 2 2 4 3" xfId="2323"/>
    <cellStyle name="Normal 2 2 3" xfId="893"/>
    <cellStyle name="Normal 2 2 3 2" xfId="894"/>
    <cellStyle name="Normal 2 2 3 2 2" xfId="895"/>
    <cellStyle name="Normal 2 2 3 2 2 2" xfId="3157"/>
    <cellStyle name="Normal 2 2 3 2 2 3" xfId="2567"/>
    <cellStyle name="Normal 2 2 3 2 3" xfId="3156"/>
    <cellStyle name="Normal 2 2 3 2 4" xfId="2375"/>
    <cellStyle name="Normal 2 2 3 3" xfId="896"/>
    <cellStyle name="Normal 2 2 3 3 2" xfId="3158"/>
    <cellStyle name="Normal 2 2 3 3 3" xfId="2470"/>
    <cellStyle name="Normal 2 2 3 4" xfId="897"/>
    <cellStyle name="Normal 2 2 3 4 2" xfId="3159"/>
    <cellStyle name="Normal 2 2 3 4 3" xfId="2278"/>
    <cellStyle name="Normal 2 2 3 5" xfId="3155"/>
    <cellStyle name="Normal 2 2 3 6" xfId="2226"/>
    <cellStyle name="Normal 2 2 4" xfId="898"/>
    <cellStyle name="Normal 2 2 4 2" xfId="899"/>
    <cellStyle name="Normal 2 2 4 2 2" xfId="3161"/>
    <cellStyle name="Normal 2 2 4 2 3" xfId="2538"/>
    <cellStyle name="Normal 2 2 4 3" xfId="3160"/>
    <cellStyle name="Normal 2 2 4 4" xfId="2346"/>
    <cellStyle name="Normal 2 2 5" xfId="900"/>
    <cellStyle name="Normal 2 2 5 2" xfId="3162"/>
    <cellStyle name="Normal 2 2 5 3" xfId="2441"/>
    <cellStyle name="Normal 2 2 6" xfId="901"/>
    <cellStyle name="Normal 2 2 6 2" xfId="3163"/>
    <cellStyle name="Normal 2 2 6 3" xfId="2649"/>
    <cellStyle name="Normal 2 2 7" xfId="902"/>
    <cellStyle name="Normal 2 2 7 2" xfId="3164"/>
    <cellStyle name="Normal 2 2 7 3" xfId="2249"/>
    <cellStyle name="Normal 2 3" xfId="903"/>
    <cellStyle name="Normal 2 3 2" xfId="904"/>
    <cellStyle name="Normal 2 3 3" xfId="905"/>
    <cellStyle name="Normal 2 4" xfId="906"/>
    <cellStyle name="Normal 2 4 2" xfId="907"/>
    <cellStyle name="Normal 2 4 2 2" xfId="908"/>
    <cellStyle name="Normal 2 4 2 2 2" xfId="909"/>
    <cellStyle name="Normal 2 4 2 2 2 2" xfId="3167"/>
    <cellStyle name="Normal 2 4 2 2 2 3" xfId="2613"/>
    <cellStyle name="Normal 2 4 2 2 3" xfId="3166"/>
    <cellStyle name="Normal 2 4 2 2 4" xfId="2421"/>
    <cellStyle name="Normal 2 4 2 3" xfId="910"/>
    <cellStyle name="Normal 2 4 2 3 2" xfId="3168"/>
    <cellStyle name="Normal 2 4 2 3 3" xfId="2516"/>
    <cellStyle name="Normal 2 4 2 4" xfId="3165"/>
    <cellStyle name="Normal 2 4 2 5" xfId="2324"/>
    <cellStyle name="Normal 2 4 3" xfId="911"/>
    <cellStyle name="Normal 2 4 3 2" xfId="912"/>
    <cellStyle name="Normal 2 4 3 2 2" xfId="913"/>
    <cellStyle name="Normal 2 4 3 2 2 2" xfId="3171"/>
    <cellStyle name="Normal 2 4 3 2 2 3" xfId="2574"/>
    <cellStyle name="Normal 2 4 3 2 3" xfId="3170"/>
    <cellStyle name="Normal 2 4 3 2 4" xfId="2382"/>
    <cellStyle name="Normal 2 4 3 3" xfId="914"/>
    <cellStyle name="Normal 2 4 3 3 2" xfId="3172"/>
    <cellStyle name="Normal 2 4 3 3 3" xfId="2477"/>
    <cellStyle name="Normal 2 4 3 4" xfId="3169"/>
    <cellStyle name="Normal 2 4 3 5" xfId="2285"/>
    <cellStyle name="Normal 2 4 4" xfId="915"/>
    <cellStyle name="Normal 2 4 4 2" xfId="916"/>
    <cellStyle name="Normal 2 4 4 2 2" xfId="3174"/>
    <cellStyle name="Normal 2 4 4 2 3" xfId="2545"/>
    <cellStyle name="Normal 2 4 4 3" xfId="3173"/>
    <cellStyle name="Normal 2 4 4 4" xfId="2353"/>
    <cellStyle name="Normal 2 4 5" xfId="917"/>
    <cellStyle name="Normal 2 4 5 2" xfId="3175"/>
    <cellStyle name="Normal 2 4 5 3" xfId="2448"/>
    <cellStyle name="Normal 2 4 6" xfId="918"/>
    <cellStyle name="Normal 2 4 6 2" xfId="3176"/>
    <cellStyle name="Normal 2 4 6 3" xfId="2650"/>
    <cellStyle name="Normal 2 4 7" xfId="919"/>
    <cellStyle name="Normal 2 4 7 2" xfId="3177"/>
    <cellStyle name="Normal 2 4 7 3" xfId="2256"/>
    <cellStyle name="Normal 2 5" xfId="920"/>
    <cellStyle name="Normal 2 5 2" xfId="921"/>
    <cellStyle name="Normal 2 5 2 2" xfId="922"/>
    <cellStyle name="Normal 2 5 2 2 2" xfId="923"/>
    <cellStyle name="Normal 2 5 2 2 2 2" xfId="3180"/>
    <cellStyle name="Normal 2 5 2 2 2 3" xfId="2614"/>
    <cellStyle name="Normal 2 5 2 2 3" xfId="3179"/>
    <cellStyle name="Normal 2 5 2 2 4" xfId="2422"/>
    <cellStyle name="Normal 2 5 2 3" xfId="924"/>
    <cellStyle name="Normal 2 5 2 3 2" xfId="3181"/>
    <cellStyle name="Normal 2 5 2 3 3" xfId="2517"/>
    <cellStyle name="Normal 2 5 2 4" xfId="3178"/>
    <cellStyle name="Normal 2 5 2 5" xfId="2325"/>
    <cellStyle name="Normal 2 5 3" xfId="925"/>
    <cellStyle name="Normal 2 5 3 2" xfId="926"/>
    <cellStyle name="Normal 2 5 3 2 2" xfId="927"/>
    <cellStyle name="Normal 2 5 3 2 2 2" xfId="3184"/>
    <cellStyle name="Normal 2 5 3 2 2 3" xfId="2576"/>
    <cellStyle name="Normal 2 5 3 2 3" xfId="3183"/>
    <cellStyle name="Normal 2 5 3 2 4" xfId="2384"/>
    <cellStyle name="Normal 2 5 3 3" xfId="928"/>
    <cellStyle name="Normal 2 5 3 3 2" xfId="3185"/>
    <cellStyle name="Normal 2 5 3 3 3" xfId="2479"/>
    <cellStyle name="Normal 2 5 3 4" xfId="3182"/>
    <cellStyle name="Normal 2 5 3 5" xfId="2287"/>
    <cellStyle name="Normal 2 5 4" xfId="929"/>
    <cellStyle name="Normal 2 5 4 2" xfId="930"/>
    <cellStyle name="Normal 2 5 4 2 2" xfId="3187"/>
    <cellStyle name="Normal 2 5 4 2 3" xfId="2559"/>
    <cellStyle name="Normal 2 5 4 3" xfId="3186"/>
    <cellStyle name="Normal 2 5 4 4" xfId="2367"/>
    <cellStyle name="Normal 2 5 5" xfId="931"/>
    <cellStyle name="Normal 2 5 5 2" xfId="3188"/>
    <cellStyle name="Normal 2 5 5 3" xfId="2462"/>
    <cellStyle name="Normal 2 5 6" xfId="932"/>
    <cellStyle name="Normal 2 5 6 2" xfId="3189"/>
    <cellStyle name="Normal 2 5 6 3" xfId="2651"/>
    <cellStyle name="Normal 2 5 7" xfId="933"/>
    <cellStyle name="Normal 2 5 7 2" xfId="3190"/>
    <cellStyle name="Normal 2 5 7 3" xfId="2270"/>
    <cellStyle name="Normal 2 6" xfId="934"/>
    <cellStyle name="Normal 2 6 2" xfId="935"/>
    <cellStyle name="Normal 2 7" xfId="936"/>
    <cellStyle name="Normal 2 7 2" xfId="937"/>
    <cellStyle name="Normal 2 7 2 2" xfId="938"/>
    <cellStyle name="Normal 2 7 2 2 2" xfId="3192"/>
    <cellStyle name="Normal 2 7 2 2 3" xfId="2611"/>
    <cellStyle name="Normal 2 7 2 3" xfId="3191"/>
    <cellStyle name="Normal 2 7 2 4" xfId="2419"/>
    <cellStyle name="Normal 2 7 3" xfId="939"/>
    <cellStyle name="Normal 2 7 3 2" xfId="3193"/>
    <cellStyle name="Normal 2 7 3 3" xfId="2514"/>
    <cellStyle name="Normal 2 7 4" xfId="940"/>
    <cellStyle name="Normal 2 7 4 2" xfId="3194"/>
    <cellStyle name="Normal 2 7 4 3" xfId="2322"/>
    <cellStyle name="Normal 2 8" xfId="941"/>
    <cellStyle name="Normal 2 8 2" xfId="942"/>
    <cellStyle name="Normal 2 8 2 2" xfId="943"/>
    <cellStyle name="Normal 2 8 2 2 2" xfId="3196"/>
    <cellStyle name="Normal 2 8 2 2 3" xfId="2564"/>
    <cellStyle name="Normal 2 8 2 3" xfId="3195"/>
    <cellStyle name="Normal 2 8 2 4" xfId="2372"/>
    <cellStyle name="Normal 2 8 3" xfId="944"/>
    <cellStyle name="Normal 2 8 3 2" xfId="3197"/>
    <cellStyle name="Normal 2 8 3 3" xfId="2467"/>
    <cellStyle name="Normal 2 8 4" xfId="945"/>
    <cellStyle name="Normal 2 8 4 2" xfId="3198"/>
    <cellStyle name="Normal 2 8 4 3" xfId="2275"/>
    <cellStyle name="Normal 2 9" xfId="946"/>
    <cellStyle name="Normal 2 9 2" xfId="947"/>
    <cellStyle name="Normal 2 9 2 2" xfId="3200"/>
    <cellStyle name="Normal 2 9 2 3" xfId="2535"/>
    <cellStyle name="Normal 2 9 3" xfId="948"/>
    <cellStyle name="Normal 2 9 3 2" xfId="3201"/>
    <cellStyle name="Normal 2 9 3 3" xfId="2343"/>
    <cellStyle name="Normal 2 9 4" xfId="3199"/>
    <cellStyle name="Normal 2 9 5" xfId="2223"/>
    <cellStyle name="Normal 2_Cover Sheet" xfId="949"/>
    <cellStyle name="Normal 20" xfId="950"/>
    <cellStyle name="Normal 20 2" xfId="951"/>
    <cellStyle name="Normal 20 2 2" xfId="952"/>
    <cellStyle name="Normal 20 2 3" xfId="3203"/>
    <cellStyle name="Normal 20 2 4" xfId="1972"/>
    <cellStyle name="Normal 20 3" xfId="953"/>
    <cellStyle name="Normal 20 4" xfId="3202"/>
    <cellStyle name="Normal 20 5" xfId="1971"/>
    <cellStyle name="Normal 200" xfId="954"/>
    <cellStyle name="Normal 200 2" xfId="3204"/>
    <cellStyle name="Normal 200 3" xfId="1973"/>
    <cellStyle name="Normal 201" xfId="955"/>
    <cellStyle name="Normal 201 2" xfId="3205"/>
    <cellStyle name="Normal 201 3" xfId="1974"/>
    <cellStyle name="Normal 202" xfId="956"/>
    <cellStyle name="Normal 202 2" xfId="3206"/>
    <cellStyle name="Normal 202 3" xfId="1975"/>
    <cellStyle name="Normal 203" xfId="957"/>
    <cellStyle name="Normal 203 2" xfId="3207"/>
    <cellStyle name="Normal 203 3" xfId="1976"/>
    <cellStyle name="Normal 204" xfId="958"/>
    <cellStyle name="Normal 204 2" xfId="3208"/>
    <cellStyle name="Normal 204 3" xfId="1977"/>
    <cellStyle name="Normal 205" xfId="959"/>
    <cellStyle name="Normal 205 2" xfId="3209"/>
    <cellStyle name="Normal 205 3" xfId="1978"/>
    <cellStyle name="Normal 206" xfId="960"/>
    <cellStyle name="Normal 206 2" xfId="3210"/>
    <cellStyle name="Normal 206 3" xfId="1979"/>
    <cellStyle name="Normal 207" xfId="961"/>
    <cellStyle name="Normal 207 2" xfId="3211"/>
    <cellStyle name="Normal 207 3" xfId="1980"/>
    <cellStyle name="Normal 208" xfId="962"/>
    <cellStyle name="Normal 208 2" xfId="3212"/>
    <cellStyle name="Normal 208 3" xfId="1981"/>
    <cellStyle name="Normal 209" xfId="963"/>
    <cellStyle name="Normal 209 2" xfId="3213"/>
    <cellStyle name="Normal 209 3" xfId="1982"/>
    <cellStyle name="Normal 21" xfId="964"/>
    <cellStyle name="Normal 21 2" xfId="965"/>
    <cellStyle name="Normal 21 2 2" xfId="3215"/>
    <cellStyle name="Normal 21 2 3" xfId="1984"/>
    <cellStyle name="Normal 21 3" xfId="966"/>
    <cellStyle name="Normal 21 4" xfId="3214"/>
    <cellStyle name="Normal 21 5" xfId="1983"/>
    <cellStyle name="Normal 210" xfId="967"/>
    <cellStyle name="Normal 210 2" xfId="3216"/>
    <cellStyle name="Normal 210 3" xfId="1985"/>
    <cellStyle name="Normal 211" xfId="968"/>
    <cellStyle name="Normal 211 2" xfId="3217"/>
    <cellStyle name="Normal 211 3" xfId="1986"/>
    <cellStyle name="Normal 212" xfId="969"/>
    <cellStyle name="Normal 212 2" xfId="3218"/>
    <cellStyle name="Normal 212 3" xfId="1987"/>
    <cellStyle name="Normal 213" xfId="970"/>
    <cellStyle name="Normal 213 2" xfId="3219"/>
    <cellStyle name="Normal 213 3" xfId="1988"/>
    <cellStyle name="Normal 214" xfId="971"/>
    <cellStyle name="Normal 214 2" xfId="3220"/>
    <cellStyle name="Normal 214 3" xfId="1989"/>
    <cellStyle name="Normal 215" xfId="972"/>
    <cellStyle name="Normal 215 2" xfId="3221"/>
    <cellStyle name="Normal 215 3" xfId="1990"/>
    <cellStyle name="Normal 216" xfId="973"/>
    <cellStyle name="Normal 216 2" xfId="3222"/>
    <cellStyle name="Normal 216 3" xfId="1991"/>
    <cellStyle name="Normal 217" xfId="974"/>
    <cellStyle name="Normal 217 2" xfId="3223"/>
    <cellStyle name="Normal 217 3" xfId="1992"/>
    <cellStyle name="Normal 218" xfId="975"/>
    <cellStyle name="Normal 218 2" xfId="3224"/>
    <cellStyle name="Normal 218 3" xfId="1993"/>
    <cellStyle name="Normal 219" xfId="976"/>
    <cellStyle name="Normal 219 2" xfId="3225"/>
    <cellStyle name="Normal 219 3" xfId="1994"/>
    <cellStyle name="Normal 22" xfId="977"/>
    <cellStyle name="Normal 22 2" xfId="978"/>
    <cellStyle name="Normal 22 2 2" xfId="3227"/>
    <cellStyle name="Normal 22 2 3" xfId="1996"/>
    <cellStyle name="Normal 22 3" xfId="979"/>
    <cellStyle name="Normal 22 4" xfId="3226"/>
    <cellStyle name="Normal 22 5" xfId="1995"/>
    <cellStyle name="Normal 220" xfId="980"/>
    <cellStyle name="Normal 220 2" xfId="3228"/>
    <cellStyle name="Normal 220 3" xfId="1997"/>
    <cellStyle name="Normal 221" xfId="981"/>
    <cellStyle name="Normal 222" xfId="982"/>
    <cellStyle name="Normal 223" xfId="983"/>
    <cellStyle name="Normal 224" xfId="984"/>
    <cellStyle name="Normal 225" xfId="985"/>
    <cellStyle name="Normal 226" xfId="986"/>
    <cellStyle name="Normal 227" xfId="987"/>
    <cellStyle name="Normal 228" xfId="988"/>
    <cellStyle name="Normal 229" xfId="989"/>
    <cellStyle name="Normal 23" xfId="990"/>
    <cellStyle name="Normal 23 2" xfId="991"/>
    <cellStyle name="Normal 23 2 2" xfId="3230"/>
    <cellStyle name="Normal 23 2 3" xfId="1999"/>
    <cellStyle name="Normal 23 3" xfId="992"/>
    <cellStyle name="Normal 23 4" xfId="3229"/>
    <cellStyle name="Normal 23 5" xfId="1998"/>
    <cellStyle name="Normal 230" xfId="993"/>
    <cellStyle name="Normal 231" xfId="994"/>
    <cellStyle name="Normal 232" xfId="995"/>
    <cellStyle name="Normal 232 2" xfId="3231"/>
    <cellStyle name="Normal 232 3" xfId="2000"/>
    <cellStyle name="Normal 233" xfId="996"/>
    <cellStyle name="Normal 233 2" xfId="3232"/>
    <cellStyle name="Normal 233 3" xfId="2001"/>
    <cellStyle name="Normal 234" xfId="997"/>
    <cellStyle name="Normal 234 2" xfId="3233"/>
    <cellStyle name="Normal 234 3" xfId="2002"/>
    <cellStyle name="Normal 235" xfId="998"/>
    <cellStyle name="Normal 235 2" xfId="3234"/>
    <cellStyle name="Normal 235 3" xfId="2003"/>
    <cellStyle name="Normal 236" xfId="999"/>
    <cellStyle name="Normal 236 2" xfId="3235"/>
    <cellStyle name="Normal 236 3" xfId="2004"/>
    <cellStyle name="Normal 237" xfId="1000"/>
    <cellStyle name="Normal 237 2" xfId="3236"/>
    <cellStyle name="Normal 237 3" xfId="2005"/>
    <cellStyle name="Normal 238" xfId="1001"/>
    <cellStyle name="Normal 238 2" xfId="3237"/>
    <cellStyle name="Normal 238 3" xfId="2006"/>
    <cellStyle name="Normal 239" xfId="1002"/>
    <cellStyle name="Normal 239 2" xfId="3238"/>
    <cellStyle name="Normal 239 3" xfId="2007"/>
    <cellStyle name="Normal 24" xfId="1003"/>
    <cellStyle name="Normal 24 2" xfId="1004"/>
    <cellStyle name="Normal 24 2 2" xfId="3240"/>
    <cellStyle name="Normal 24 2 3" xfId="2009"/>
    <cellStyle name="Normal 24 3" xfId="1005"/>
    <cellStyle name="Normal 24 4" xfId="3239"/>
    <cellStyle name="Normal 24 5" xfId="2008"/>
    <cellStyle name="Normal 240" xfId="1006"/>
    <cellStyle name="Normal 240 2" xfId="3241"/>
    <cellStyle name="Normal 240 3" xfId="2010"/>
    <cellStyle name="Normal 241" xfId="1007"/>
    <cellStyle name="Normal 241 2" xfId="3242"/>
    <cellStyle name="Normal 241 3" xfId="2011"/>
    <cellStyle name="Normal 242" xfId="1008"/>
    <cellStyle name="Normal 242 2" xfId="3243"/>
    <cellStyle name="Normal 242 3" xfId="2012"/>
    <cellStyle name="Normal 243" xfId="1009"/>
    <cellStyle name="Normal 243 2" xfId="3244"/>
    <cellStyle name="Normal 243 3" xfId="2013"/>
    <cellStyle name="Normal 244" xfId="1010"/>
    <cellStyle name="Normal 244 2" xfId="3245"/>
    <cellStyle name="Normal 244 3" xfId="2014"/>
    <cellStyle name="Normal 245" xfId="1011"/>
    <cellStyle name="Normal 245 2" xfId="3246"/>
    <cellStyle name="Normal 245 3" xfId="2015"/>
    <cellStyle name="Normal 246" xfId="1012"/>
    <cellStyle name="Normal 246 2" xfId="3247"/>
    <cellStyle name="Normal 246 3" xfId="2016"/>
    <cellStyle name="Normal 247" xfId="1013"/>
    <cellStyle name="Normal 247 2" xfId="3248"/>
    <cellStyle name="Normal 247 3" xfId="2017"/>
    <cellStyle name="Normal 248" xfId="1014"/>
    <cellStyle name="Normal 248 2" xfId="3249"/>
    <cellStyle name="Normal 248 3" xfId="2018"/>
    <cellStyle name="Normal 249" xfId="1015"/>
    <cellStyle name="Normal 249 2" xfId="3250"/>
    <cellStyle name="Normal 249 3" xfId="2019"/>
    <cellStyle name="Normal 25" xfId="1016"/>
    <cellStyle name="Normal 25 2" xfId="1017"/>
    <cellStyle name="Normal 25 2 2" xfId="3252"/>
    <cellStyle name="Normal 25 2 3" xfId="2021"/>
    <cellStyle name="Normal 25 3" xfId="1018"/>
    <cellStyle name="Normal 25 4" xfId="3251"/>
    <cellStyle name="Normal 25 5" xfId="2020"/>
    <cellStyle name="Normal 250" xfId="1019"/>
    <cellStyle name="Normal 250 2" xfId="3253"/>
    <cellStyle name="Normal 250 3" xfId="2022"/>
    <cellStyle name="Normal 251" xfId="1020"/>
    <cellStyle name="Normal 251 2" xfId="3254"/>
    <cellStyle name="Normal 251 3" xfId="2023"/>
    <cellStyle name="Normal 252" xfId="1021"/>
    <cellStyle name="Normal 252 2" xfId="3255"/>
    <cellStyle name="Normal 252 3" xfId="2024"/>
    <cellStyle name="Normal 253" xfId="1022"/>
    <cellStyle name="Normal 253 2" xfId="3256"/>
    <cellStyle name="Normal 253 3" xfId="2025"/>
    <cellStyle name="Normal 254" xfId="1023"/>
    <cellStyle name="Normal 254 2" xfId="3257"/>
    <cellStyle name="Normal 254 3" xfId="2026"/>
    <cellStyle name="Normal 255" xfId="1024"/>
    <cellStyle name="Normal 255 2" xfId="3258"/>
    <cellStyle name="Normal 255 3" xfId="2027"/>
    <cellStyle name="Normal 256" xfId="1025"/>
    <cellStyle name="Normal 256 2" xfId="3259"/>
    <cellStyle name="Normal 256 3" xfId="2028"/>
    <cellStyle name="Normal 257" xfId="1026"/>
    <cellStyle name="Normal 257 2" xfId="3260"/>
    <cellStyle name="Normal 257 3" xfId="2029"/>
    <cellStyle name="Normal 258" xfId="1027"/>
    <cellStyle name="Normal 258 2" xfId="3261"/>
    <cellStyle name="Normal 258 3" xfId="2030"/>
    <cellStyle name="Normal 259" xfId="1028"/>
    <cellStyle name="Normal 259 2" xfId="3262"/>
    <cellStyle name="Normal 259 3" xfId="2031"/>
    <cellStyle name="Normal 26" xfId="1029"/>
    <cellStyle name="Normal 26 2" xfId="1030"/>
    <cellStyle name="Normal 26 2 2" xfId="1031"/>
    <cellStyle name="Normal 26 2 2 2" xfId="3265"/>
    <cellStyle name="Normal 26 2 2 3" xfId="2615"/>
    <cellStyle name="Normal 26 2 3" xfId="1032"/>
    <cellStyle name="Normal 26 2 3 2" xfId="3266"/>
    <cellStyle name="Normal 26 2 3 3" xfId="2423"/>
    <cellStyle name="Normal 26 2 4" xfId="3264"/>
    <cellStyle name="Normal 26 2 5" xfId="2033"/>
    <cellStyle name="Normal 26 3" xfId="1033"/>
    <cellStyle name="Normal 26 3 2" xfId="3267"/>
    <cellStyle name="Normal 26 3 3" xfId="2518"/>
    <cellStyle name="Normal 26 4" xfId="1034"/>
    <cellStyle name="Normal 26 4 2" xfId="3268"/>
    <cellStyle name="Normal 26 4 3" xfId="2652"/>
    <cellStyle name="Normal 26 5" xfId="1035"/>
    <cellStyle name="Normal 26 5 2" xfId="3269"/>
    <cellStyle name="Normal 26 5 3" xfId="2326"/>
    <cellStyle name="Normal 26 6" xfId="3263"/>
    <cellStyle name="Normal 26 7" xfId="2032"/>
    <cellStyle name="Normal 260" xfId="1036"/>
    <cellStyle name="Normal 260 2" xfId="3270"/>
    <cellStyle name="Normal 260 3" xfId="2034"/>
    <cellStyle name="Normal 261" xfId="1037"/>
    <cellStyle name="Normal 261 2" xfId="3271"/>
    <cellStyle name="Normal 261 3" xfId="2035"/>
    <cellStyle name="Normal 262" xfId="1038"/>
    <cellStyle name="Normal 262 2" xfId="3272"/>
    <cellStyle name="Normal 262 3" xfId="2036"/>
    <cellStyle name="Normal 263" xfId="1039"/>
    <cellStyle name="Normal 263 2" xfId="3273"/>
    <cellStyle name="Normal 263 3" xfId="2037"/>
    <cellStyle name="Normal 264" xfId="1040"/>
    <cellStyle name="Normal 264 2" xfId="3274"/>
    <cellStyle name="Normal 264 3" xfId="2038"/>
    <cellStyle name="Normal 265" xfId="1041"/>
    <cellStyle name="Normal 265 2" xfId="3275"/>
    <cellStyle name="Normal 265 3" xfId="2039"/>
    <cellStyle name="Normal 266" xfId="1042"/>
    <cellStyle name="Normal 266 2" xfId="3276"/>
    <cellStyle name="Normal 266 3" xfId="2040"/>
    <cellStyle name="Normal 267" xfId="1043"/>
    <cellStyle name="Normal 268" xfId="1044"/>
    <cellStyle name="Normal 269" xfId="1045"/>
    <cellStyle name="Normal 27" xfId="1046"/>
    <cellStyle name="Normal 27 2" xfId="1047"/>
    <cellStyle name="Normal 27 2 2" xfId="1048"/>
    <cellStyle name="Normal 27 2 2 2" xfId="3277"/>
    <cellStyle name="Normal 27 2 2 3" xfId="2594"/>
    <cellStyle name="Normal 27 2 3" xfId="1049"/>
    <cellStyle name="Normal 27 2 3 2" xfId="3278"/>
    <cellStyle name="Normal 27 2 3 3" xfId="2402"/>
    <cellStyle name="Normal 27 3" xfId="1050"/>
    <cellStyle name="Normal 27 3 2" xfId="3279"/>
    <cellStyle name="Normal 27 3 3" xfId="2497"/>
    <cellStyle name="Normal 27 4" xfId="1051"/>
    <cellStyle name="Normal 27 4 2" xfId="3280"/>
    <cellStyle name="Normal 27 4 3" xfId="2631"/>
    <cellStyle name="Normal 27 5" xfId="1052"/>
    <cellStyle name="Normal 27 5 2" xfId="3281"/>
    <cellStyle name="Normal 27 5 3" xfId="2305"/>
    <cellStyle name="Normal 270" xfId="1053"/>
    <cellStyle name="Normal 271" xfId="1054"/>
    <cellStyle name="Normal 271 2" xfId="3282"/>
    <cellStyle name="Normal 271 3" xfId="2041"/>
    <cellStyle name="Normal 272" xfId="1055"/>
    <cellStyle name="Normal 272 2" xfId="3283"/>
    <cellStyle name="Normal 272 3" xfId="2042"/>
    <cellStyle name="Normal 273" xfId="1056"/>
    <cellStyle name="Normal 273 2" xfId="3284"/>
    <cellStyle name="Normal 273 3" xfId="2043"/>
    <cellStyle name="Normal 274" xfId="1057"/>
    <cellStyle name="Normal 274 2" xfId="3285"/>
    <cellStyle name="Normal 274 3" xfId="2044"/>
    <cellStyle name="Normal 275" xfId="1058"/>
    <cellStyle name="Normal 276" xfId="1059"/>
    <cellStyle name="Normal 277" xfId="1060"/>
    <cellStyle name="Normal 278" xfId="1061"/>
    <cellStyle name="Normal 279" xfId="1062"/>
    <cellStyle name="Normal 28" xfId="1063"/>
    <cellStyle name="Normal 28 2" xfId="1064"/>
    <cellStyle name="Normal 28 2 2" xfId="1065"/>
    <cellStyle name="Normal 28 2 2 2" xfId="3286"/>
    <cellStyle name="Normal 28 2 2 3" xfId="2616"/>
    <cellStyle name="Normal 28 2 3" xfId="1066"/>
    <cellStyle name="Normal 28 2 3 2" xfId="3287"/>
    <cellStyle name="Normal 28 2 3 3" xfId="2424"/>
    <cellStyle name="Normal 28 3" xfId="1067"/>
    <cellStyle name="Normal 28 3 2" xfId="3288"/>
    <cellStyle name="Normal 28 3 3" xfId="2519"/>
    <cellStyle name="Normal 28 4" xfId="1068"/>
    <cellStyle name="Normal 28 4 2" xfId="3289"/>
    <cellStyle name="Normal 28 4 3" xfId="2653"/>
    <cellStyle name="Normal 28 5" xfId="1069"/>
    <cellStyle name="Normal 28 5 2" xfId="3290"/>
    <cellStyle name="Normal 28 5 3" xfId="2327"/>
    <cellStyle name="Normal 280" xfId="1070"/>
    <cellStyle name="Normal 281" xfId="1071"/>
    <cellStyle name="Normal 282" xfId="1072"/>
    <cellStyle name="Normal 283" xfId="1073"/>
    <cellStyle name="Normal 284" xfId="1074"/>
    <cellStyle name="Normal 285" xfId="1075"/>
    <cellStyle name="Normal 286" xfId="1076"/>
    <cellStyle name="Normal 287" xfId="1077"/>
    <cellStyle name="Normal 288" xfId="1078"/>
    <cellStyle name="Normal 289" xfId="1079"/>
    <cellStyle name="Normal 29" xfId="1080"/>
    <cellStyle name="Normal 29 2" xfId="1081"/>
    <cellStyle name="Normal 29 2 2" xfId="1082"/>
    <cellStyle name="Normal 29 2 2 2" xfId="3291"/>
    <cellStyle name="Normal 29 2 2 3" xfId="2617"/>
    <cellStyle name="Normal 29 2 3" xfId="1083"/>
    <cellStyle name="Normal 29 2 3 2" xfId="3292"/>
    <cellStyle name="Normal 29 2 3 3" xfId="2425"/>
    <cellStyle name="Normal 29 3" xfId="1084"/>
    <cellStyle name="Normal 29 3 2" xfId="3293"/>
    <cellStyle name="Normal 29 3 3" xfId="2520"/>
    <cellStyle name="Normal 29 4" xfId="1085"/>
    <cellStyle name="Normal 29 4 2" xfId="3294"/>
    <cellStyle name="Normal 29 4 3" xfId="2654"/>
    <cellStyle name="Normal 29 5" xfId="1086"/>
    <cellStyle name="Normal 29 5 2" xfId="3295"/>
    <cellStyle name="Normal 29 5 3" xfId="2328"/>
    <cellStyle name="Normal 290" xfId="1087"/>
    <cellStyle name="Normal 291" xfId="1088"/>
    <cellStyle name="Normal 292" xfId="1089"/>
    <cellStyle name="Normal 293" xfId="1090"/>
    <cellStyle name="Normal 294" xfId="1091"/>
    <cellStyle name="Normal 295" xfId="1092"/>
    <cellStyle name="Normal 296" xfId="1093"/>
    <cellStyle name="Normal 297" xfId="1094"/>
    <cellStyle name="Normal 298" xfId="1095"/>
    <cellStyle name="Normal 299" xfId="1096"/>
    <cellStyle name="Normal 3" xfId="1097"/>
    <cellStyle name="Normal 3 10" xfId="1098"/>
    <cellStyle name="Normal 3 10 2" xfId="3297"/>
    <cellStyle name="Normal 3 10 3" xfId="2219"/>
    <cellStyle name="Normal 3 11" xfId="1099"/>
    <cellStyle name="Normal 3 12" xfId="3296"/>
    <cellStyle name="Normal 3 13" xfId="2045"/>
    <cellStyle name="Normal 3 2" xfId="1100"/>
    <cellStyle name="Normal 3 2 2" xfId="1101"/>
    <cellStyle name="Normal 3 2 2 2" xfId="3299"/>
    <cellStyle name="Normal 3 2 2 3" xfId="2047"/>
    <cellStyle name="Normal 3 2 3" xfId="1102"/>
    <cellStyle name="Normal 3 2 3 2" xfId="3300"/>
    <cellStyle name="Normal 3 2 3 3" xfId="2048"/>
    <cellStyle name="Normal 3 2 4" xfId="1103"/>
    <cellStyle name="Normal 3 2 5" xfId="3298"/>
    <cellStyle name="Normal 3 2 6" xfId="2046"/>
    <cellStyle name="Normal 3 3" xfId="1104"/>
    <cellStyle name="Normal 3 3 2" xfId="1105"/>
    <cellStyle name="Normal 3 3 3" xfId="3301"/>
    <cellStyle name="Normal 3 3 4" xfId="2049"/>
    <cellStyle name="Normal 3 4" xfId="1106"/>
    <cellStyle name="Normal 3 4 2" xfId="1107"/>
    <cellStyle name="Normal 3 4 3" xfId="3302"/>
    <cellStyle name="Normal 3 4 4" xfId="2050"/>
    <cellStyle name="Normal 3 5" xfId="1108"/>
    <cellStyle name="Normal 3 6" xfId="1109"/>
    <cellStyle name="Normal 3 6 2" xfId="3303"/>
    <cellStyle name="Normal 3 6 3" xfId="2051"/>
    <cellStyle name="Normal 3 7" xfId="1110"/>
    <cellStyle name="Normal 3 7 2" xfId="3304"/>
    <cellStyle name="Normal 3 7 3" xfId="2052"/>
    <cellStyle name="Normal 3 8" xfId="1111"/>
    <cellStyle name="Normal 3 8 2" xfId="3305"/>
    <cellStyle name="Normal 3 8 3" xfId="2053"/>
    <cellStyle name="Normal 3 9" xfId="1112"/>
    <cellStyle name="Normal 3 9 2" xfId="3306"/>
    <cellStyle name="Normal 3 9 3" xfId="2187"/>
    <cellStyle name="Normal 30" xfId="1113"/>
    <cellStyle name="Normal 30 2" xfId="1114"/>
    <cellStyle name="Normal 30 2 2" xfId="1115"/>
    <cellStyle name="Normal 30 2 2 2" xfId="3307"/>
    <cellStyle name="Normal 30 2 2 3" xfId="2618"/>
    <cellStyle name="Normal 30 2 3" xfId="1116"/>
    <cellStyle name="Normal 30 2 3 2" xfId="3308"/>
    <cellStyle name="Normal 30 2 3 3" xfId="2426"/>
    <cellStyle name="Normal 30 3" xfId="1117"/>
    <cellStyle name="Normal 30 3 2" xfId="3309"/>
    <cellStyle name="Normal 30 3 3" xfId="2521"/>
    <cellStyle name="Normal 30 4" xfId="1118"/>
    <cellStyle name="Normal 30 4 2" xfId="3310"/>
    <cellStyle name="Normal 30 4 3" xfId="2655"/>
    <cellStyle name="Normal 30 5" xfId="1119"/>
    <cellStyle name="Normal 30 5 2" xfId="3311"/>
    <cellStyle name="Normal 30 5 3" xfId="2329"/>
    <cellStyle name="Normal 300" xfId="1120"/>
    <cellStyle name="Normal 301" xfId="1121"/>
    <cellStyle name="Normal 302" xfId="1122"/>
    <cellStyle name="Normal 303" xfId="1123"/>
    <cellStyle name="Normal 304" xfId="1124"/>
    <cellStyle name="Normal 305" xfId="1125"/>
    <cellStyle name="Normal 306" xfId="1126"/>
    <cellStyle name="Normal 307" xfId="1127"/>
    <cellStyle name="Normal 308" xfId="1128"/>
    <cellStyle name="Normal 309" xfId="1129"/>
    <cellStyle name="Normal 31" xfId="1130"/>
    <cellStyle name="Normal 31 2" xfId="1131"/>
    <cellStyle name="Normal 31 2 2" xfId="1132"/>
    <cellStyle name="Normal 31 2 2 2" xfId="3313"/>
    <cellStyle name="Normal 31 2 2 3" xfId="2619"/>
    <cellStyle name="Normal 31 2 3" xfId="3312"/>
    <cellStyle name="Normal 31 2 4" xfId="2427"/>
    <cellStyle name="Normal 31 3" xfId="1133"/>
    <cellStyle name="Normal 31 3 2" xfId="3314"/>
    <cellStyle name="Normal 31 3 3" xfId="2522"/>
    <cellStyle name="Normal 31 4" xfId="1134"/>
    <cellStyle name="Normal 31 4 2" xfId="3315"/>
    <cellStyle name="Normal 31 4 3" xfId="2656"/>
    <cellStyle name="Normal 31 5" xfId="1135"/>
    <cellStyle name="Normal 31 5 2" xfId="3316"/>
    <cellStyle name="Normal 31 5 3" xfId="2330"/>
    <cellStyle name="Normal 310" xfId="1136"/>
    <cellStyle name="Normal 311" xfId="1137"/>
    <cellStyle name="Normal 312" xfId="1138"/>
    <cellStyle name="Normal 313" xfId="1139"/>
    <cellStyle name="Normal 314" xfId="1140"/>
    <cellStyle name="Normal 315" xfId="1141"/>
    <cellStyle name="Normal 316" xfId="1142"/>
    <cellStyle name="Normal 317" xfId="1143"/>
    <cellStyle name="Normal 318" xfId="1144"/>
    <cellStyle name="Normal 319" xfId="1145"/>
    <cellStyle name="Normal 32" xfId="1146"/>
    <cellStyle name="Normal 32 2" xfId="1147"/>
    <cellStyle name="Normal 320" xfId="1148"/>
    <cellStyle name="Normal 321" xfId="1149"/>
    <cellStyle name="Normal 322" xfId="1150"/>
    <cellStyle name="Normal 323" xfId="1151"/>
    <cellStyle name="Normal 324" xfId="1152"/>
    <cellStyle name="Normal 325" xfId="1153"/>
    <cellStyle name="Normal 326" xfId="1154"/>
    <cellStyle name="Normal 327" xfId="1155"/>
    <cellStyle name="Normal 328" xfId="1156"/>
    <cellStyle name="Normal 329" xfId="1157"/>
    <cellStyle name="Normal 33" xfId="1158"/>
    <cellStyle name="Normal 33 2" xfId="1159"/>
    <cellStyle name="Normal 330" xfId="1160"/>
    <cellStyle name="Normal 331" xfId="1161"/>
    <cellStyle name="Normal 332" xfId="1162"/>
    <cellStyle name="Normal 333" xfId="1163"/>
    <cellStyle name="Normal 334" xfId="1164"/>
    <cellStyle name="Normal 335" xfId="1165"/>
    <cellStyle name="Normal 336" xfId="1166"/>
    <cellStyle name="Normal 337" xfId="1167"/>
    <cellStyle name="Normal 338" xfId="1168"/>
    <cellStyle name="Normal 339" xfId="1169"/>
    <cellStyle name="Normal 34" xfId="1170"/>
    <cellStyle name="Normal 34 2" xfId="1171"/>
    <cellStyle name="Normal 340" xfId="1172"/>
    <cellStyle name="Normal 341" xfId="1173"/>
    <cellStyle name="Normal 342" xfId="1174"/>
    <cellStyle name="Normal 343" xfId="1175"/>
    <cellStyle name="Normal 343 2" xfId="3317"/>
    <cellStyle name="Normal 343 3" xfId="2157"/>
    <cellStyle name="Normal 344" xfId="1176"/>
    <cellStyle name="Normal 344 2" xfId="3318"/>
    <cellStyle name="Normal 344 3" xfId="2160"/>
    <cellStyle name="Normal 345" xfId="1177"/>
    <cellStyle name="Normal 345 2" xfId="3319"/>
    <cellStyle name="Normal 345 3" xfId="2162"/>
    <cellStyle name="Normal 346" xfId="1178"/>
    <cellStyle name="Normal 346 2" xfId="3320"/>
    <cellStyle name="Normal 346 3" xfId="2173"/>
    <cellStyle name="Normal 347" xfId="1179"/>
    <cellStyle name="Normal 347 2" xfId="3321"/>
    <cellStyle name="Normal 347 3" xfId="2190"/>
    <cellStyle name="Normal 348" xfId="1180"/>
    <cellStyle name="Normal 348 2" xfId="3322"/>
    <cellStyle name="Normal 348 3" xfId="2204"/>
    <cellStyle name="Normal 349" xfId="1181"/>
    <cellStyle name="Normal 349 2" xfId="3323"/>
    <cellStyle name="Normal 349 3" xfId="2199"/>
    <cellStyle name="Normal 35" xfId="1182"/>
    <cellStyle name="Normal 35 2" xfId="1183"/>
    <cellStyle name="Normal 350" xfId="1184"/>
    <cellStyle name="Normal 350 2" xfId="3324"/>
    <cellStyle name="Normal 350 3" xfId="2200"/>
    <cellStyle name="Normal 351" xfId="1185"/>
    <cellStyle name="Normal 351 2" xfId="3325"/>
    <cellStyle name="Normal 351 3" xfId="2205"/>
    <cellStyle name="Normal 352" xfId="1186"/>
    <cellStyle name="Normal 352 2" xfId="3326"/>
    <cellStyle name="Normal 352 3" xfId="2198"/>
    <cellStyle name="Normal 353" xfId="1187"/>
    <cellStyle name="Normal 353 2" xfId="3327"/>
    <cellStyle name="Normal 353 3" xfId="2207"/>
    <cellStyle name="Normal 354" xfId="1188"/>
    <cellStyle name="Normal 354 2" xfId="3328"/>
    <cellStyle name="Normal 354 3" xfId="2197"/>
    <cellStyle name="Normal 355" xfId="1189"/>
    <cellStyle name="Normal 355 2" xfId="3329"/>
    <cellStyle name="Normal 355 3" xfId="2202"/>
    <cellStyle name="Normal 356" xfId="1190"/>
    <cellStyle name="Normal 356 2" xfId="3330"/>
    <cellStyle name="Normal 356 3" xfId="2210"/>
    <cellStyle name="Normal 357" xfId="1191"/>
    <cellStyle name="Normal 357 2" xfId="3331"/>
    <cellStyle name="Normal 357 3" xfId="2201"/>
    <cellStyle name="Normal 358" xfId="1192"/>
    <cellStyle name="Normal 358 2" xfId="3332"/>
    <cellStyle name="Normal 358 3" xfId="2211"/>
    <cellStyle name="Normal 359" xfId="1193"/>
    <cellStyle name="Normal 359 2" xfId="3333"/>
    <cellStyle name="Normal 359 3" xfId="2206"/>
    <cellStyle name="Normal 36" xfId="1194"/>
    <cellStyle name="Normal 36 2" xfId="1195"/>
    <cellStyle name="Normal 360" xfId="1196"/>
    <cellStyle name="Normal 360 2" xfId="3334"/>
    <cellStyle name="Normal 360 3" xfId="2196"/>
    <cellStyle name="Normal 361" xfId="1197"/>
    <cellStyle name="Normal 361 2" xfId="3335"/>
    <cellStyle name="Normal 361 3" xfId="2209"/>
    <cellStyle name="Normal 362" xfId="1198"/>
    <cellStyle name="Normal 362 2" xfId="3336"/>
    <cellStyle name="Normal 362 3" xfId="2213"/>
    <cellStyle name="Normal 363" xfId="1199"/>
    <cellStyle name="Normal 363 2" xfId="3337"/>
    <cellStyle name="Normal 363 3" xfId="2195"/>
    <cellStyle name="Normal 364" xfId="1200"/>
    <cellStyle name="Normal 364 2" xfId="3338"/>
    <cellStyle name="Normal 364 3" xfId="2215"/>
    <cellStyle name="Normal 365" xfId="1201"/>
    <cellStyle name="Normal 365 2" xfId="3339"/>
    <cellStyle name="Normal 365 3" xfId="2216"/>
    <cellStyle name="Normal 366" xfId="1202"/>
    <cellStyle name="Normal 366 2" xfId="3340"/>
    <cellStyle name="Normal 366 3" xfId="2214"/>
    <cellStyle name="Normal 367" xfId="1203"/>
    <cellStyle name="Normal 367 2" xfId="3341"/>
    <cellStyle name="Normal 367 3" xfId="2212"/>
    <cellStyle name="Normal 368" xfId="1204"/>
    <cellStyle name="Normal 368 2" xfId="3342"/>
    <cellStyle name="Normal 368 3" xfId="2208"/>
    <cellStyle name="Normal 369" xfId="1205"/>
    <cellStyle name="Normal 369 2" xfId="3343"/>
    <cellStyle name="Normal 369 3" xfId="2203"/>
    <cellStyle name="Normal 37" xfId="1206"/>
    <cellStyle name="Normal 37 2" xfId="1207"/>
    <cellStyle name="Normal 370" xfId="1208"/>
    <cellStyle name="Normal 371" xfId="1209"/>
    <cellStyle name="Normal 371 2" xfId="3344"/>
    <cellStyle name="Normal 372" xfId="1210"/>
    <cellStyle name="Normal 373" xfId="1211"/>
    <cellStyle name="Normal 374" xfId="1212"/>
    <cellStyle name="Normal 374 2" xfId="3345"/>
    <cellStyle name="Normal 375" xfId="1213"/>
    <cellStyle name="Normal 375 2" xfId="3346"/>
    <cellStyle name="Normal 376" xfId="1214"/>
    <cellStyle name="Normal 376 2" xfId="3347"/>
    <cellStyle name="Normal 377" xfId="1215"/>
    <cellStyle name="Normal 377 2" xfId="3348"/>
    <cellStyle name="Normal 378" xfId="1216"/>
    <cellStyle name="Normal 378 2" xfId="3349"/>
    <cellStyle name="Normal 379" xfId="1217"/>
    <cellStyle name="Normal 379 2" xfId="3350"/>
    <cellStyle name="Normal 38" xfId="1218"/>
    <cellStyle name="Normal 38 2" xfId="1219"/>
    <cellStyle name="Normal 380" xfId="1220"/>
    <cellStyle name="Normal 380 2" xfId="3351"/>
    <cellStyle name="Normal 381" xfId="1221"/>
    <cellStyle name="Normal 381 2" xfId="3352"/>
    <cellStyle name="Normal 381 3" xfId="2229"/>
    <cellStyle name="Normal 382" xfId="1222"/>
    <cellStyle name="Normal 382 2" xfId="3353"/>
    <cellStyle name="Normal 382 3" xfId="2233"/>
    <cellStyle name="Normal 383" xfId="1223"/>
    <cellStyle name="Normal 383 2" xfId="3354"/>
    <cellStyle name="Normal 384" xfId="1224"/>
    <cellStyle name="Normal 384 2" xfId="3355"/>
    <cellStyle name="Normal 385" xfId="1225"/>
    <cellStyle name="Normal 385 2" xfId="3356"/>
    <cellStyle name="Normal 386" xfId="1226"/>
    <cellStyle name="Normal 386 2" xfId="3357"/>
    <cellStyle name="Normal 386 3" xfId="2236"/>
    <cellStyle name="Normal 387" xfId="1227"/>
    <cellStyle name="Normal 387 2" xfId="3358"/>
    <cellStyle name="Normal 387 3" xfId="2240"/>
    <cellStyle name="Normal 388" xfId="1228"/>
    <cellStyle name="Normal 389" xfId="3618"/>
    <cellStyle name="Normal 39" xfId="1229"/>
    <cellStyle name="Normal 39 2" xfId="1230"/>
    <cellStyle name="Normal 390" xfId="3623"/>
    <cellStyle name="Normal 391" xfId="3626"/>
    <cellStyle name="Normal 392" xfId="3627"/>
    <cellStyle name="Normal 4" xfId="1231"/>
    <cellStyle name="Normal 4 10" xfId="1232"/>
    <cellStyle name="Normal 4 10 2" xfId="3360"/>
    <cellStyle name="Normal 4 10 3" xfId="2055"/>
    <cellStyle name="Normal 4 11" xfId="1233"/>
    <cellStyle name="Normal 4 11 2" xfId="3361"/>
    <cellStyle name="Normal 4 11 3" xfId="2056"/>
    <cellStyle name="Normal 4 12" xfId="1234"/>
    <cellStyle name="Normal 4 12 2" xfId="3362"/>
    <cellStyle name="Normal 4 12 3" xfId="2057"/>
    <cellStyle name="Normal 4 13" xfId="1235"/>
    <cellStyle name="Normal 4 14" xfId="1236"/>
    <cellStyle name="Normal 4 14 2" xfId="3363"/>
    <cellStyle name="Normal 4 14 3" xfId="2220"/>
    <cellStyle name="Normal 4 15" xfId="1237"/>
    <cellStyle name="Normal 4 16" xfId="3359"/>
    <cellStyle name="Normal 4 17" xfId="2054"/>
    <cellStyle name="Normal 4 2" xfId="1238"/>
    <cellStyle name="Normal 4 2 2" xfId="1239"/>
    <cellStyle name="Normal 4 2 2 2" xfId="3365"/>
    <cellStyle name="Normal 4 2 2 3" xfId="2059"/>
    <cellStyle name="Normal 4 2 3" xfId="3364"/>
    <cellStyle name="Normal 4 2 4" xfId="2058"/>
    <cellStyle name="Normal 4 3" xfId="1240"/>
    <cellStyle name="Normal 4 3 2" xfId="1241"/>
    <cellStyle name="Normal 4 3 2 2" xfId="3367"/>
    <cellStyle name="Normal 4 3 2 3" xfId="2061"/>
    <cellStyle name="Normal 4 3 3" xfId="3366"/>
    <cellStyle name="Normal 4 3 4" xfId="2060"/>
    <cellStyle name="Normal 4 4" xfId="1242"/>
    <cellStyle name="Normal 4 4 2" xfId="1243"/>
    <cellStyle name="Normal 4 4 2 2" xfId="3369"/>
    <cellStyle name="Normal 4 4 2 3" xfId="2063"/>
    <cellStyle name="Normal 4 4 3" xfId="3368"/>
    <cellStyle name="Normal 4 4 4" xfId="2062"/>
    <cellStyle name="Normal 4 5" xfId="1244"/>
    <cellStyle name="Normal 4 5 2" xfId="1245"/>
    <cellStyle name="Normal 4 5 2 2" xfId="3371"/>
    <cellStyle name="Normal 4 5 2 3" xfId="2065"/>
    <cellStyle name="Normal 4 5 3" xfId="3370"/>
    <cellStyle name="Normal 4 5 4" xfId="2064"/>
    <cellStyle name="Normal 4 6" xfId="1246"/>
    <cellStyle name="Normal 4 7" xfId="1247"/>
    <cellStyle name="Normal 4 7 2" xfId="1248"/>
    <cellStyle name="Normal 4 7 2 2" xfId="3373"/>
    <cellStyle name="Normal 4 7 2 3" xfId="2067"/>
    <cellStyle name="Normal 4 7 3" xfId="3372"/>
    <cellStyle name="Normal 4 7 4" xfId="2066"/>
    <cellStyle name="Normal 4 8" xfId="1249"/>
    <cellStyle name="Normal 4 8 2" xfId="1250"/>
    <cellStyle name="Normal 4 8 2 2" xfId="3375"/>
    <cellStyle name="Normal 4 8 2 3" xfId="2069"/>
    <cellStyle name="Normal 4 8 3" xfId="3374"/>
    <cellStyle name="Normal 4 8 4" xfId="2068"/>
    <cellStyle name="Normal 4 9" xfId="1251"/>
    <cellStyle name="Normal 4 9 2" xfId="3376"/>
    <cellStyle name="Normal 4 9 3" xfId="2070"/>
    <cellStyle name="Normal 40" xfId="1252"/>
    <cellStyle name="Normal 40 2" xfId="1253"/>
    <cellStyle name="Normal 41" xfId="1254"/>
    <cellStyle name="Normal 41 2" xfId="1255"/>
    <cellStyle name="Normal 42" xfId="1256"/>
    <cellStyle name="Normal 42 2" xfId="1257"/>
    <cellStyle name="Normal 43" xfId="1258"/>
    <cellStyle name="Normal 43 2" xfId="1259"/>
    <cellStyle name="Normal 44" xfId="1260"/>
    <cellStyle name="Normal 44 2" xfId="1261"/>
    <cellStyle name="Normal 45" xfId="1262"/>
    <cellStyle name="Normal 45 2" xfId="1263"/>
    <cellStyle name="Normal 46" xfId="1264"/>
    <cellStyle name="Normal 46 2" xfId="1265"/>
    <cellStyle name="Normal 47" xfId="1266"/>
    <cellStyle name="Normal 47 2" xfId="1267"/>
    <cellStyle name="Normal 48" xfId="1268"/>
    <cellStyle name="Normal 48 2" xfId="1269"/>
    <cellStyle name="Normal 49" xfId="1270"/>
    <cellStyle name="Normal 49 2" xfId="1271"/>
    <cellStyle name="Normal 5" xfId="1272"/>
    <cellStyle name="Normal 5 2" xfId="1273"/>
    <cellStyle name="Normal 5 2 2" xfId="1274"/>
    <cellStyle name="Normal 5 2 2 2" xfId="1275"/>
    <cellStyle name="Normal 5 2 2 2 2" xfId="3379"/>
    <cellStyle name="Normal 5 2 2 2 3" xfId="2620"/>
    <cellStyle name="Normal 5 2 2 3" xfId="3378"/>
    <cellStyle name="Normal 5 2 2 4" xfId="2428"/>
    <cellStyle name="Normal 5 2 3" xfId="1276"/>
    <cellStyle name="Normal 5 2 3 2" xfId="3380"/>
    <cellStyle name="Normal 5 2 3 3" xfId="2523"/>
    <cellStyle name="Normal 5 2 4" xfId="1277"/>
    <cellStyle name="Normal 5 2 4 2" xfId="3381"/>
    <cellStyle name="Normal 5 2 4 3" xfId="2331"/>
    <cellStyle name="Normal 5 3" xfId="1278"/>
    <cellStyle name="Normal 5 3 2" xfId="1279"/>
    <cellStyle name="Normal 5 3 2 2" xfId="1280"/>
    <cellStyle name="Normal 5 3 2 2 2" xfId="3383"/>
    <cellStyle name="Normal 5 3 2 2 3" xfId="2565"/>
    <cellStyle name="Normal 5 3 2 3" xfId="3382"/>
    <cellStyle name="Normal 5 3 2 4" xfId="2373"/>
    <cellStyle name="Normal 5 3 3" xfId="1281"/>
    <cellStyle name="Normal 5 3 3 2" xfId="3384"/>
    <cellStyle name="Normal 5 3 3 3" xfId="2468"/>
    <cellStyle name="Normal 5 3 4" xfId="1282"/>
    <cellStyle name="Normal 5 3 4 2" xfId="3385"/>
    <cellStyle name="Normal 5 3 4 3" xfId="2276"/>
    <cellStyle name="Normal 5 4" xfId="1283"/>
    <cellStyle name="Normal 5 4 2" xfId="1284"/>
    <cellStyle name="Normal 5 4 2 2" xfId="3387"/>
    <cellStyle name="Normal 5 4 2 3" xfId="2536"/>
    <cellStyle name="Normal 5 4 3" xfId="1285"/>
    <cellStyle name="Normal 5 4 3 2" xfId="3388"/>
    <cellStyle name="Normal 5 4 3 3" xfId="2344"/>
    <cellStyle name="Normal 5 4 4" xfId="3386"/>
    <cellStyle name="Normal 5 4 5" xfId="2188"/>
    <cellStyle name="Normal 5 5" xfId="1286"/>
    <cellStyle name="Normal 5 5 2" xfId="1287"/>
    <cellStyle name="Normal 5 5 2 2" xfId="3390"/>
    <cellStyle name="Normal 5 5 2 3" xfId="2439"/>
    <cellStyle name="Normal 5 5 3" xfId="3389"/>
    <cellStyle name="Normal 5 5 4" xfId="2224"/>
    <cellStyle name="Normal 5 6" xfId="1288"/>
    <cellStyle name="Normal 5 6 2" xfId="3391"/>
    <cellStyle name="Normal 5 6 3" xfId="2657"/>
    <cellStyle name="Normal 5 7" xfId="1289"/>
    <cellStyle name="Normal 5 7 2" xfId="3392"/>
    <cellStyle name="Normal 5 7 3" xfId="2247"/>
    <cellStyle name="Normal 5 8" xfId="3377"/>
    <cellStyle name="Normal 5 9" xfId="2071"/>
    <cellStyle name="Normal 5_Sheet1" xfId="1290"/>
    <cellStyle name="Normal 50" xfId="1291"/>
    <cellStyle name="Normal 50 2" xfId="1292"/>
    <cellStyle name="Normal 51" xfId="1293"/>
    <cellStyle name="Normal 51 2" xfId="1294"/>
    <cellStyle name="Normal 52" xfId="1295"/>
    <cellStyle name="Normal 52 2" xfId="1296"/>
    <cellStyle name="Normal 53" xfId="1297"/>
    <cellStyle name="Normal 53 2" xfId="1298"/>
    <cellStyle name="Normal 54" xfId="1299"/>
    <cellStyle name="Normal 54 2" xfId="1300"/>
    <cellStyle name="Normal 54 2 2" xfId="3393"/>
    <cellStyle name="Normal 54 2 3" xfId="2533"/>
    <cellStyle name="Normal 54 3" xfId="1301"/>
    <cellStyle name="Normal 54 3 2" xfId="3394"/>
    <cellStyle name="Normal 54 3 3" xfId="2341"/>
    <cellStyle name="Normal 55" xfId="1302"/>
    <cellStyle name="Normal 55 2" xfId="1303"/>
    <cellStyle name="Normal 56" xfId="1304"/>
    <cellStyle name="Normal 56 2" xfId="1305"/>
    <cellStyle name="Normal 57" xfId="1306"/>
    <cellStyle name="Normal 58" xfId="1307"/>
    <cellStyle name="Normal 59" xfId="1308"/>
    <cellStyle name="Normal 6" xfId="1309"/>
    <cellStyle name="Normal 6 2" xfId="1310"/>
    <cellStyle name="Normal 6 3" xfId="1311"/>
    <cellStyle name="Normal 6 4" xfId="1312"/>
    <cellStyle name="Normal 6 5" xfId="1313"/>
    <cellStyle name="Normal 6 6" xfId="3395"/>
    <cellStyle name="Normal 6 7" xfId="2072"/>
    <cellStyle name="Normal 60" xfId="1314"/>
    <cellStyle name="Normal 61" xfId="1315"/>
    <cellStyle name="Normal 62" xfId="1316"/>
    <cellStyle name="Normal 63" xfId="1317"/>
    <cellStyle name="Normal 64" xfId="1318"/>
    <cellStyle name="Normal 65" xfId="1319"/>
    <cellStyle name="Normal 66" xfId="1320"/>
    <cellStyle name="Normal 67" xfId="1321"/>
    <cellStyle name="Normal 68" xfId="1322"/>
    <cellStyle name="Normal 69" xfId="1323"/>
    <cellStyle name="Normal 7" xfId="1324"/>
    <cellStyle name="Normal 7 10" xfId="2073"/>
    <cellStyle name="Normal 7 2" xfId="1325"/>
    <cellStyle name="Normal 7 2 2" xfId="1326"/>
    <cellStyle name="Normal 7 2 2 2" xfId="1327"/>
    <cellStyle name="Normal 7 2 2 2 2" xfId="1328"/>
    <cellStyle name="Normal 7 2 2 2 2 2" xfId="3399"/>
    <cellStyle name="Normal 7 2 2 2 2 3" xfId="2622"/>
    <cellStyle name="Normal 7 2 2 2 3" xfId="3398"/>
    <cellStyle name="Normal 7 2 2 2 4" xfId="2430"/>
    <cellStyle name="Normal 7 2 2 3" xfId="1329"/>
    <cellStyle name="Normal 7 2 2 3 2" xfId="3400"/>
    <cellStyle name="Normal 7 2 2 3 3" xfId="2525"/>
    <cellStyle name="Normal 7 2 2 4" xfId="1330"/>
    <cellStyle name="Normal 7 2 2 4 2" xfId="3401"/>
    <cellStyle name="Normal 7 2 2 4 3" xfId="2333"/>
    <cellStyle name="Normal 7 2 2 5" xfId="3397"/>
    <cellStyle name="Normal 7 2 2 6" xfId="2193"/>
    <cellStyle name="Normal 7 2 3" xfId="1331"/>
    <cellStyle name="Normal 7 2 3 2" xfId="1332"/>
    <cellStyle name="Normal 7 2 3 2 2" xfId="1333"/>
    <cellStyle name="Normal 7 2 3 2 2 2" xfId="3404"/>
    <cellStyle name="Normal 7 2 3 2 2 3" xfId="2590"/>
    <cellStyle name="Normal 7 2 3 2 3" xfId="3403"/>
    <cellStyle name="Normal 7 2 3 2 4" xfId="2398"/>
    <cellStyle name="Normal 7 2 3 3" xfId="1334"/>
    <cellStyle name="Normal 7 2 3 3 2" xfId="3405"/>
    <cellStyle name="Normal 7 2 3 3 3" xfId="2493"/>
    <cellStyle name="Normal 7 2 3 4" xfId="3402"/>
    <cellStyle name="Normal 7 2 3 5" xfId="2301"/>
    <cellStyle name="Normal 7 2 4" xfId="1335"/>
    <cellStyle name="Normal 7 2 4 2" xfId="1336"/>
    <cellStyle name="Normal 7 2 4 2 2" xfId="3407"/>
    <cellStyle name="Normal 7 2 4 2 3" xfId="2560"/>
    <cellStyle name="Normal 7 2 4 3" xfId="3406"/>
    <cellStyle name="Normal 7 2 4 4" xfId="2368"/>
    <cellStyle name="Normal 7 2 5" xfId="1337"/>
    <cellStyle name="Normal 7 2 5 2" xfId="3408"/>
    <cellStyle name="Normal 7 2 5 3" xfId="2463"/>
    <cellStyle name="Normal 7 2 6" xfId="1338"/>
    <cellStyle name="Normal 7 2 6 2" xfId="3409"/>
    <cellStyle name="Normal 7 2 6 3" xfId="2659"/>
    <cellStyle name="Normal 7 2 7" xfId="1339"/>
    <cellStyle name="Normal 7 2 7 2" xfId="3410"/>
    <cellStyle name="Normal 7 2 7 3" xfId="2271"/>
    <cellStyle name="Normal 7 3" xfId="1340"/>
    <cellStyle name="Normal 7 3 2" xfId="1341"/>
    <cellStyle name="Normal 7 3 2 2" xfId="1342"/>
    <cellStyle name="Normal 7 3 2 2 2" xfId="3412"/>
    <cellStyle name="Normal 7 3 2 2 3" xfId="2621"/>
    <cellStyle name="Normal 7 3 2 3" xfId="3411"/>
    <cellStyle name="Normal 7 3 2 4" xfId="2429"/>
    <cellStyle name="Normal 7 3 3" xfId="1343"/>
    <cellStyle name="Normal 7 3 3 2" xfId="3413"/>
    <cellStyle name="Normal 7 3 3 3" xfId="2524"/>
    <cellStyle name="Normal 7 3 4" xfId="1344"/>
    <cellStyle name="Normal 7 3 4 2" xfId="3414"/>
    <cellStyle name="Normal 7 3 4 3" xfId="2332"/>
    <cellStyle name="Normal 7 4" xfId="1345"/>
    <cellStyle name="Normal 7 4 2" xfId="1346"/>
    <cellStyle name="Normal 7 4 2 2" xfId="1347"/>
    <cellStyle name="Normal 7 4 2 2 2" xfId="3416"/>
    <cellStyle name="Normal 7 4 2 2 3" xfId="2568"/>
    <cellStyle name="Normal 7 4 2 3" xfId="3415"/>
    <cellStyle name="Normal 7 4 2 4" xfId="2376"/>
    <cellStyle name="Normal 7 4 3" xfId="1348"/>
    <cellStyle name="Normal 7 4 3 2" xfId="3417"/>
    <cellStyle name="Normal 7 4 3 3" xfId="2471"/>
    <cellStyle name="Normal 7 4 4" xfId="1349"/>
    <cellStyle name="Normal 7 4 4 2" xfId="3418"/>
    <cellStyle name="Normal 7 4 4 3" xfId="2279"/>
    <cellStyle name="Normal 7 5" xfId="1350"/>
    <cellStyle name="Normal 7 5 2" xfId="1351"/>
    <cellStyle name="Normal 7 5 2 2" xfId="3420"/>
    <cellStyle name="Normal 7 5 2 3" xfId="2539"/>
    <cellStyle name="Normal 7 5 3" xfId="1352"/>
    <cellStyle name="Normal 7 5 3 2" xfId="3421"/>
    <cellStyle name="Normal 7 5 3 3" xfId="2347"/>
    <cellStyle name="Normal 7 5 4" xfId="3419"/>
    <cellStyle name="Normal 7 5 5" xfId="2227"/>
    <cellStyle name="Normal 7 6" xfId="1353"/>
    <cellStyle name="Normal 7 6 2" xfId="3422"/>
    <cellStyle name="Normal 7 6 3" xfId="2442"/>
    <cellStyle name="Normal 7 7" xfId="1354"/>
    <cellStyle name="Normal 7 7 2" xfId="3423"/>
    <cellStyle name="Normal 7 7 3" xfId="2658"/>
    <cellStyle name="Normal 7 8" xfId="1355"/>
    <cellStyle name="Normal 7 8 2" xfId="3424"/>
    <cellStyle name="Normal 7 8 3" xfId="2250"/>
    <cellStyle name="Normal 7 9" xfId="3396"/>
    <cellStyle name="Normal 70" xfId="1356"/>
    <cellStyle name="Normal 71" xfId="1357"/>
    <cellStyle name="Normal 72" xfId="1358"/>
    <cellStyle name="Normal 73" xfId="1359"/>
    <cellStyle name="Normal 74" xfId="1360"/>
    <cellStyle name="Normal 75" xfId="1361"/>
    <cellStyle name="Normal 75 2" xfId="1362"/>
    <cellStyle name="Normal 75 2 2" xfId="3426"/>
    <cellStyle name="Normal 75 2 3" xfId="2075"/>
    <cellStyle name="Normal 75 3" xfId="3425"/>
    <cellStyle name="Normal 75 4" xfId="2074"/>
    <cellStyle name="Normal 76" xfId="1363"/>
    <cellStyle name="Normal 76 2" xfId="1364"/>
    <cellStyle name="Normal 76 2 2" xfId="3428"/>
    <cellStyle name="Normal 76 2 3" xfId="2077"/>
    <cellStyle name="Normal 76 3" xfId="3427"/>
    <cellStyle name="Normal 76 4" xfId="2076"/>
    <cellStyle name="Normal 77" xfId="1365"/>
    <cellStyle name="Normal 77 2" xfId="1366"/>
    <cellStyle name="Normal 77 2 2" xfId="3430"/>
    <cellStyle name="Normal 77 2 3" xfId="2079"/>
    <cellStyle name="Normal 77 3" xfId="3429"/>
    <cellStyle name="Normal 77 4" xfId="2078"/>
    <cellStyle name="Normal 78" xfId="1367"/>
    <cellStyle name="Normal 78 2" xfId="1368"/>
    <cellStyle name="Normal 78 2 2" xfId="3432"/>
    <cellStyle name="Normal 78 2 3" xfId="2081"/>
    <cellStyle name="Normal 78 3" xfId="3431"/>
    <cellStyle name="Normal 78 4" xfId="2080"/>
    <cellStyle name="Normal 79" xfId="1369"/>
    <cellStyle name="Normal 79 2" xfId="1370"/>
    <cellStyle name="Normal 79 2 2" xfId="3434"/>
    <cellStyle name="Normal 79 2 3" xfId="2083"/>
    <cellStyle name="Normal 79 3" xfId="3433"/>
    <cellStyle name="Normal 79 4" xfId="2082"/>
    <cellStyle name="Normal 8" xfId="1371"/>
    <cellStyle name="Normal 8 10" xfId="1372"/>
    <cellStyle name="Normal 8 10 2" xfId="3436"/>
    <cellStyle name="Normal 8 10 3" xfId="2085"/>
    <cellStyle name="Normal 8 11" xfId="1373"/>
    <cellStyle name="Normal 8 12" xfId="1374"/>
    <cellStyle name="Normal 8 12 2" xfId="3437"/>
    <cellStyle name="Normal 8 12 3" xfId="2252"/>
    <cellStyle name="Normal 8 13" xfId="3435"/>
    <cellStyle name="Normal 8 14" xfId="2084"/>
    <cellStyle name="Normal 8 2" xfId="1375"/>
    <cellStyle name="Normal 8 2 2" xfId="1376"/>
    <cellStyle name="Normal 8 2 2 2" xfId="1377"/>
    <cellStyle name="Normal 8 2 2 2 2" xfId="1378"/>
    <cellStyle name="Normal 8 2 2 2 2 2" xfId="3441"/>
    <cellStyle name="Normal 8 2 2 2 2 3" xfId="2624"/>
    <cellStyle name="Normal 8 2 2 2 3" xfId="3440"/>
    <cellStyle name="Normal 8 2 2 2 4" xfId="2432"/>
    <cellStyle name="Normal 8 2 2 3" xfId="1379"/>
    <cellStyle name="Normal 8 2 2 3 2" xfId="3442"/>
    <cellStyle name="Normal 8 2 2 3 3" xfId="2527"/>
    <cellStyle name="Normal 8 2 2 4" xfId="1380"/>
    <cellStyle name="Normal 8 2 2 4 2" xfId="3443"/>
    <cellStyle name="Normal 8 2 2 4 3" xfId="2335"/>
    <cellStyle name="Normal 8 2 2 5" xfId="3439"/>
    <cellStyle name="Normal 8 2 2 6" xfId="2087"/>
    <cellStyle name="Normal 8 2 3" xfId="1381"/>
    <cellStyle name="Normal 8 2 3 2" xfId="1382"/>
    <cellStyle name="Normal 8 2 3 2 2" xfId="1383"/>
    <cellStyle name="Normal 8 2 3 2 2 2" xfId="3446"/>
    <cellStyle name="Normal 8 2 3 2 2 3" xfId="2591"/>
    <cellStyle name="Normal 8 2 3 2 3" xfId="3445"/>
    <cellStyle name="Normal 8 2 3 2 4" xfId="2399"/>
    <cellStyle name="Normal 8 2 3 3" xfId="1384"/>
    <cellStyle name="Normal 8 2 3 3 2" xfId="3447"/>
    <cellStyle name="Normal 8 2 3 3 3" xfId="2494"/>
    <cellStyle name="Normal 8 2 3 4" xfId="1385"/>
    <cellStyle name="Normal 8 2 3 4 2" xfId="3448"/>
    <cellStyle name="Normal 8 2 3 4 3" xfId="2302"/>
    <cellStyle name="Normal 8 2 3 5" xfId="3444"/>
    <cellStyle name="Normal 8 2 3 6" xfId="2194"/>
    <cellStyle name="Normal 8 2 4" xfId="1386"/>
    <cellStyle name="Normal 8 2 4 2" xfId="1387"/>
    <cellStyle name="Normal 8 2 4 2 2" xfId="3450"/>
    <cellStyle name="Normal 8 2 4 2 3" xfId="2561"/>
    <cellStyle name="Normal 8 2 4 3" xfId="3449"/>
    <cellStyle name="Normal 8 2 4 4" xfId="2369"/>
    <cellStyle name="Normal 8 2 5" xfId="1388"/>
    <cellStyle name="Normal 8 2 5 2" xfId="3451"/>
    <cellStyle name="Normal 8 2 5 3" xfId="2464"/>
    <cellStyle name="Normal 8 2 6" xfId="1389"/>
    <cellStyle name="Normal 8 2 6 2" xfId="3452"/>
    <cellStyle name="Normal 8 2 6 3" xfId="2661"/>
    <cellStyle name="Normal 8 2 7" xfId="1390"/>
    <cellStyle name="Normal 8 2 7 2" xfId="3453"/>
    <cellStyle name="Normal 8 2 7 3" xfId="2272"/>
    <cellStyle name="Normal 8 2 8" xfId="3438"/>
    <cellStyle name="Normal 8 2 9" xfId="2086"/>
    <cellStyle name="Normal 8 3" xfId="1391"/>
    <cellStyle name="Normal 8 3 2" xfId="1392"/>
    <cellStyle name="Normal 8 3 2 2" xfId="1393"/>
    <cellStyle name="Normal 8 3 2 2 2" xfId="3456"/>
    <cellStyle name="Normal 8 3 2 2 3" xfId="2623"/>
    <cellStyle name="Normal 8 3 2 3" xfId="1394"/>
    <cellStyle name="Normal 8 3 2 3 2" xfId="3457"/>
    <cellStyle name="Normal 8 3 2 3 3" xfId="2431"/>
    <cellStyle name="Normal 8 3 2 4" xfId="3455"/>
    <cellStyle name="Normal 8 3 2 5" xfId="2089"/>
    <cellStyle name="Normal 8 3 3" xfId="1395"/>
    <cellStyle name="Normal 8 3 3 2" xfId="3458"/>
    <cellStyle name="Normal 8 3 3 3" xfId="2526"/>
    <cellStyle name="Normal 8 3 4" xfId="1396"/>
    <cellStyle name="Normal 8 3 4 2" xfId="3459"/>
    <cellStyle name="Normal 8 3 4 3" xfId="2334"/>
    <cellStyle name="Normal 8 3 5" xfId="3454"/>
    <cellStyle name="Normal 8 3 6" xfId="2088"/>
    <cellStyle name="Normal 8 4" xfId="1397"/>
    <cellStyle name="Normal 8 4 2" xfId="1398"/>
    <cellStyle name="Normal 8 4 2 2" xfId="1399"/>
    <cellStyle name="Normal 8 4 2 2 2" xfId="3462"/>
    <cellStyle name="Normal 8 4 2 2 3" xfId="2570"/>
    <cellStyle name="Normal 8 4 2 3" xfId="1400"/>
    <cellStyle name="Normal 8 4 2 3 2" xfId="3463"/>
    <cellStyle name="Normal 8 4 2 3 3" xfId="2378"/>
    <cellStyle name="Normal 8 4 2 4" xfId="3461"/>
    <cellStyle name="Normal 8 4 2 5" xfId="2091"/>
    <cellStyle name="Normal 8 4 3" xfId="1401"/>
    <cellStyle name="Normal 8 4 3 2" xfId="3464"/>
    <cellStyle name="Normal 8 4 3 3" xfId="2473"/>
    <cellStyle name="Normal 8 4 4" xfId="1402"/>
    <cellStyle name="Normal 8 4 4 2" xfId="3465"/>
    <cellStyle name="Normal 8 4 4 3" xfId="2281"/>
    <cellStyle name="Normal 8 4 5" xfId="3460"/>
    <cellStyle name="Normal 8 4 6" xfId="2090"/>
    <cellStyle name="Normal 8 5" xfId="1403"/>
    <cellStyle name="Normal 8 5 2" xfId="1404"/>
    <cellStyle name="Normal 8 5 2 2" xfId="3466"/>
    <cellStyle name="Normal 8 5 2 3" xfId="2541"/>
    <cellStyle name="Normal 8 5 3" xfId="1405"/>
    <cellStyle name="Normal 8 5 3 2" xfId="3467"/>
    <cellStyle name="Normal 8 5 3 3" xfId="2349"/>
    <cellStyle name="Normal 8 6" xfId="1406"/>
    <cellStyle name="Normal 8 6 2" xfId="1407"/>
    <cellStyle name="Normal 8 6 2 2" xfId="3469"/>
    <cellStyle name="Normal 8 6 2 3" xfId="2093"/>
    <cellStyle name="Normal 8 6 3" xfId="1408"/>
    <cellStyle name="Normal 8 6 3 2" xfId="3470"/>
    <cellStyle name="Normal 8 6 3 3" xfId="2444"/>
    <cellStyle name="Normal 8 6 4" xfId="3468"/>
    <cellStyle name="Normal 8 6 5" xfId="2092"/>
    <cellStyle name="Normal 8 7" xfId="1409"/>
    <cellStyle name="Normal 8 7 2" xfId="1410"/>
    <cellStyle name="Normal 8 7 2 2" xfId="3472"/>
    <cellStyle name="Normal 8 7 2 3" xfId="2095"/>
    <cellStyle name="Normal 8 7 3" xfId="1411"/>
    <cellStyle name="Normal 8 7 3 2" xfId="3473"/>
    <cellStyle name="Normal 8 7 3 3" xfId="2660"/>
    <cellStyle name="Normal 8 7 4" xfId="3471"/>
    <cellStyle name="Normal 8 7 5" xfId="2094"/>
    <cellStyle name="Normal 8 8" xfId="1412"/>
    <cellStyle name="Normal 8 8 2" xfId="3474"/>
    <cellStyle name="Normal 8 8 3" xfId="2096"/>
    <cellStyle name="Normal 8 9" xfId="1413"/>
    <cellStyle name="Normal 8 9 2" xfId="3475"/>
    <cellStyle name="Normal 8 9 3" xfId="2097"/>
    <cellStyle name="Normal 80" xfId="1414"/>
    <cellStyle name="Normal 80 2" xfId="1415"/>
    <cellStyle name="Normal 80 2 2" xfId="3477"/>
    <cellStyle name="Normal 80 2 3" xfId="2099"/>
    <cellStyle name="Normal 80 3" xfId="3476"/>
    <cellStyle name="Normal 80 4" xfId="2098"/>
    <cellStyle name="Normal 81" xfId="1416"/>
    <cellStyle name="Normal 81 2" xfId="1417"/>
    <cellStyle name="Normal 82" xfId="1418"/>
    <cellStyle name="Normal 82 2" xfId="1419"/>
    <cellStyle name="Normal 83" xfId="1420"/>
    <cellStyle name="Normal 83 2" xfId="1421"/>
    <cellStyle name="Normal 84" xfId="1422"/>
    <cellStyle name="Normal 84 2" xfId="1423"/>
    <cellStyle name="Normal 85" xfId="1424"/>
    <cellStyle name="Normal 85 2" xfId="1425"/>
    <cellStyle name="Normal 86" xfId="1426"/>
    <cellStyle name="Normal 86 2" xfId="1427"/>
    <cellStyle name="Normal 87" xfId="1428"/>
    <cellStyle name="Normal 87 2" xfId="1429"/>
    <cellStyle name="Normal 88" xfId="1430"/>
    <cellStyle name="Normal 88 2" xfId="1431"/>
    <cellStyle name="Normal 89" xfId="1432"/>
    <cellStyle name="Normal 89 2" xfId="1433"/>
    <cellStyle name="Normal 9" xfId="1434"/>
    <cellStyle name="Normal 9 2" xfId="1435"/>
    <cellStyle name="Normal 9 2 2" xfId="1436"/>
    <cellStyle name="Normal 9 2 2 2" xfId="1437"/>
    <cellStyle name="Normal 9 2 2 2 2" xfId="3479"/>
    <cellStyle name="Normal 9 2 2 2 3" xfId="2625"/>
    <cellStyle name="Normal 9 2 2 3" xfId="3478"/>
    <cellStyle name="Normal 9 2 2 4" xfId="2433"/>
    <cellStyle name="Normal 9 2 3" xfId="1438"/>
    <cellStyle name="Normal 9 2 3 2" xfId="3480"/>
    <cellStyle name="Normal 9 2 3 3" xfId="2528"/>
    <cellStyle name="Normal 9 2 4" xfId="1439"/>
    <cellStyle name="Normal 9 2 4 2" xfId="3481"/>
    <cellStyle name="Normal 9 2 4 3" xfId="2336"/>
    <cellStyle name="Normal 9 3" xfId="1440"/>
    <cellStyle name="Normal 9 3 2" xfId="1441"/>
    <cellStyle name="Normal 9 3 2 2" xfId="1442"/>
    <cellStyle name="Normal 9 3 2 2 2" xfId="3484"/>
    <cellStyle name="Normal 9 3 2 2 3" xfId="2572"/>
    <cellStyle name="Normal 9 3 2 3" xfId="3483"/>
    <cellStyle name="Normal 9 3 2 4" xfId="2380"/>
    <cellStyle name="Normal 9 3 3" xfId="1443"/>
    <cellStyle name="Normal 9 3 3 2" xfId="3485"/>
    <cellStyle name="Normal 9 3 3 3" xfId="2475"/>
    <cellStyle name="Normal 9 3 4" xfId="3482"/>
    <cellStyle name="Normal 9 3 5" xfId="2283"/>
    <cellStyle name="Normal 9 4" xfId="1444"/>
    <cellStyle name="Normal 9 4 2" xfId="1445"/>
    <cellStyle name="Normal 9 4 2 2" xfId="3487"/>
    <cellStyle name="Normal 9 4 2 3" xfId="2543"/>
    <cellStyle name="Normal 9 4 3" xfId="3486"/>
    <cellStyle name="Normal 9 4 4" xfId="2351"/>
    <cellStyle name="Normal 9 5" xfId="1446"/>
    <cellStyle name="Normal 9 5 2" xfId="3488"/>
    <cellStyle name="Normal 9 5 3" xfId="2446"/>
    <cellStyle name="Normal 9 6" xfId="1447"/>
    <cellStyle name="Normal 9 6 2" xfId="3489"/>
    <cellStyle name="Normal 9 6 3" xfId="2662"/>
    <cellStyle name="Normal 9 7" xfId="1448"/>
    <cellStyle name="Normal 9 7 2" xfId="3490"/>
    <cellStyle name="Normal 9 7 3" xfId="2254"/>
    <cellStyle name="Normal 90" xfId="1449"/>
    <cellStyle name="Normal 90 2" xfId="1450"/>
    <cellStyle name="Normal 90 2 2" xfId="3492"/>
    <cellStyle name="Normal 90 2 3" xfId="2101"/>
    <cellStyle name="Normal 90 3" xfId="3491"/>
    <cellStyle name="Normal 90 4" xfId="2100"/>
    <cellStyle name="Normal 91" xfId="1451"/>
    <cellStyle name="Normal 92" xfId="1452"/>
    <cellStyle name="Normal 93" xfId="1453"/>
    <cellStyle name="Normal 94" xfId="1454"/>
    <cellStyle name="Normal 95" xfId="1455"/>
    <cellStyle name="Normal 96" xfId="1456"/>
    <cellStyle name="Normal 97" xfId="1457"/>
    <cellStyle name="Normal 98" xfId="1458"/>
    <cellStyle name="Normal 99" xfId="1459"/>
    <cellStyle name="Note 10" xfId="1460"/>
    <cellStyle name="Note 10 2" xfId="3493"/>
    <cellStyle name="Note 10 3" xfId="2102"/>
    <cellStyle name="Note 2" xfId="1461"/>
    <cellStyle name="Note 2 2" xfId="1462"/>
    <cellStyle name="Note 2 2 2" xfId="3495"/>
    <cellStyle name="Note 2 3" xfId="1463"/>
    <cellStyle name="Note 2 4" xfId="3494"/>
    <cellStyle name="Note 2 5" xfId="2103"/>
    <cellStyle name="Note 3" xfId="1464"/>
    <cellStyle name="Note 3 2" xfId="1465"/>
    <cellStyle name="Note 3 2 2" xfId="1466"/>
    <cellStyle name="Note 3 2 2 2" xfId="1467"/>
    <cellStyle name="Note 3 2 2 2 2" xfId="3499"/>
    <cellStyle name="Note 3 2 2 2 3" xfId="2626"/>
    <cellStyle name="Note 3 2 2 3" xfId="3498"/>
    <cellStyle name="Note 3 2 2 4" xfId="2434"/>
    <cellStyle name="Note 3 2 3" xfId="1468"/>
    <cellStyle name="Note 3 2 3 2" xfId="3500"/>
    <cellStyle name="Note 3 2 3 3" xfId="2529"/>
    <cellStyle name="Note 3 2 4" xfId="1469"/>
    <cellStyle name="Note 3 2 4 2" xfId="3501"/>
    <cellStyle name="Note 3 2 4 3" xfId="2337"/>
    <cellStyle name="Note 3 2 5" xfId="3497"/>
    <cellStyle name="Note 3 2 6" xfId="2105"/>
    <cellStyle name="Note 3 3" xfId="1470"/>
    <cellStyle name="Note 3 3 2" xfId="1471"/>
    <cellStyle name="Note 3 3 2 2" xfId="1472"/>
    <cellStyle name="Note 3 3 2 2 2" xfId="3504"/>
    <cellStyle name="Note 3 3 2 2 3" xfId="2592"/>
    <cellStyle name="Note 3 3 2 3" xfId="3503"/>
    <cellStyle name="Note 3 3 2 4" xfId="2400"/>
    <cellStyle name="Note 3 3 3" xfId="1473"/>
    <cellStyle name="Note 3 3 3 2" xfId="3505"/>
    <cellStyle name="Note 3 3 3 3" xfId="2495"/>
    <cellStyle name="Note 3 3 4" xfId="1474"/>
    <cellStyle name="Note 3 3 4 2" xfId="3506"/>
    <cellStyle name="Note 3 3 4 3" xfId="2303"/>
    <cellStyle name="Note 3 3 5" xfId="3502"/>
    <cellStyle name="Note 3 3 6" xfId="2106"/>
    <cellStyle name="Note 3 4" xfId="1475"/>
    <cellStyle name="Note 3 4 2" xfId="1476"/>
    <cellStyle name="Note 3 4 2 2" xfId="3508"/>
    <cellStyle name="Note 3 4 2 3" xfId="2562"/>
    <cellStyle name="Note 3 4 3" xfId="1477"/>
    <cellStyle name="Note 3 4 3 2" xfId="3509"/>
    <cellStyle name="Note 3 4 3 3" xfId="2370"/>
    <cellStyle name="Note 3 4 4" xfId="3507"/>
    <cellStyle name="Note 3 4 5" xfId="2189"/>
    <cellStyle name="Note 3 5" xfId="1478"/>
    <cellStyle name="Note 3 5 2" xfId="3510"/>
    <cellStyle name="Note 3 5 3" xfId="2465"/>
    <cellStyle name="Note 3 6" xfId="1479"/>
    <cellStyle name="Note 3 6 2" xfId="3511"/>
    <cellStyle name="Note 3 6 3" xfId="2663"/>
    <cellStyle name="Note 3 7" xfId="1480"/>
    <cellStyle name="Note 3 7 2" xfId="3512"/>
    <cellStyle name="Note 3 7 3" xfId="2273"/>
    <cellStyle name="Note 3 8" xfId="3496"/>
    <cellStyle name="Note 3 9" xfId="2104"/>
    <cellStyle name="Note 4" xfId="1481"/>
    <cellStyle name="Note 4 2" xfId="3513"/>
    <cellStyle name="Note 4 3" xfId="2107"/>
    <cellStyle name="Note 5" xfId="1482"/>
    <cellStyle name="Note 5 2" xfId="3514"/>
    <cellStyle name="Note 5 3" xfId="2108"/>
    <cellStyle name="Note 6" xfId="1483"/>
    <cellStyle name="Note 6 2" xfId="3515"/>
    <cellStyle name="Note 6 3" xfId="2109"/>
    <cellStyle name="Note 7" xfId="1484"/>
    <cellStyle name="Note 7 2" xfId="3516"/>
    <cellStyle name="Note 7 3" xfId="2110"/>
    <cellStyle name="Note 8" xfId="1485"/>
    <cellStyle name="Note 8 2" xfId="3517"/>
    <cellStyle name="Note 8 3" xfId="2111"/>
    <cellStyle name="Note 9" xfId="1486"/>
    <cellStyle name="Note 9 2" xfId="3518"/>
    <cellStyle name="Note 9 3" xfId="2112"/>
    <cellStyle name="Number" xfId="1487"/>
    <cellStyle name="Number 2" xfId="1488"/>
    <cellStyle name="Number 3" xfId="1489"/>
    <cellStyle name="Output 2" xfId="1490"/>
    <cellStyle name="Output 2 2" xfId="1491"/>
    <cellStyle name="Output 2 3" xfId="3519"/>
    <cellStyle name="Output 3" xfId="1492"/>
    <cellStyle name="Output Amounts" xfId="1493"/>
    <cellStyle name="Output Column Headings" xfId="1494"/>
    <cellStyle name="Output Line Items" xfId="1495"/>
    <cellStyle name="Output Report Heading" xfId="1496"/>
    <cellStyle name="Output Report Title" xfId="1497"/>
    <cellStyle name="Percen - Style2" xfId="1498"/>
    <cellStyle name="Percen - Style3" xfId="1499"/>
    <cellStyle name="Percent" xfId="3628"/>
    <cellStyle name="Percent [2]" xfId="1500"/>
    <cellStyle name="Percent 10" xfId="1501"/>
    <cellStyle name="Percent 100" xfId="1502"/>
    <cellStyle name="Percent 101" xfId="1503"/>
    <cellStyle name="Percent 102" xfId="1504"/>
    <cellStyle name="Percent 103" xfId="1505"/>
    <cellStyle name="Percent 104" xfId="1506"/>
    <cellStyle name="Percent 105" xfId="1507"/>
    <cellStyle name="Percent 106" xfId="1508"/>
    <cellStyle name="Percent 107" xfId="1509"/>
    <cellStyle name="Percent 108" xfId="1510"/>
    <cellStyle name="Percent 108 2" xfId="3520"/>
    <cellStyle name="Percent 108 3" xfId="2235"/>
    <cellStyle name="Percent 109" xfId="1511"/>
    <cellStyle name="Percent 109 2" xfId="3521"/>
    <cellStyle name="Percent 109 3" xfId="2239"/>
    <cellStyle name="Percent 11" xfId="1512"/>
    <cellStyle name="Percent 11 2" xfId="1513"/>
    <cellStyle name="Percent 11 2 2" xfId="1514"/>
    <cellStyle name="Percent 11 2 2 2" xfId="3524"/>
    <cellStyle name="Percent 11 2 2 3" xfId="2170"/>
    <cellStyle name="Percent 11 2 3" xfId="3523"/>
    <cellStyle name="Percent 11 2 4" xfId="2168"/>
    <cellStyle name="Percent 11 3" xfId="1515"/>
    <cellStyle name="Percent 11 3 2" xfId="3525"/>
    <cellStyle name="Percent 11 3 3" xfId="2244"/>
    <cellStyle name="Percent 11 4" xfId="3522"/>
    <cellStyle name="Percent 11 5" xfId="2113"/>
    <cellStyle name="Percent 110" xfId="1516"/>
    <cellStyle name="Percent 110 2" xfId="3526"/>
    <cellStyle name="Percent 110 3" xfId="2241"/>
    <cellStyle name="Percent 111" xfId="1517"/>
    <cellStyle name="Percent 112" xfId="3621"/>
    <cellStyle name="Percent 113" xfId="3622"/>
    <cellStyle name="Percent 114" xfId="3625"/>
    <cellStyle name="Percent 115" xfId="3624"/>
    <cellStyle name="Percent 116" xfId="2156"/>
    <cellStyle name="Percent 12" xfId="1518"/>
    <cellStyle name="Percent 12 2" xfId="3527"/>
    <cellStyle name="Percent 12 3" xfId="2114"/>
    <cellStyle name="Percent 13" xfId="1519"/>
    <cellStyle name="Percent 13 2" xfId="3528"/>
    <cellStyle name="Percent 13 3" xfId="2115"/>
    <cellStyle name="Percent 14" xfId="1520"/>
    <cellStyle name="Percent 14 2" xfId="3529"/>
    <cellStyle name="Percent 14 3" xfId="2116"/>
    <cellStyle name="Percent 15" xfId="1521"/>
    <cellStyle name="Percent 15 2" xfId="3530"/>
    <cellStyle name="Percent 15 3" xfId="2117"/>
    <cellStyle name="Percent 16" xfId="1522"/>
    <cellStyle name="Percent 16 2" xfId="3531"/>
    <cellStyle name="Percent 16 3" xfId="2118"/>
    <cellStyle name="Percent 17" xfId="1523"/>
    <cellStyle name="Percent 17 2" xfId="3532"/>
    <cellStyle name="Percent 17 3" xfId="2119"/>
    <cellStyle name="Percent 18" xfId="1524"/>
    <cellStyle name="Percent 18 2" xfId="3533"/>
    <cellStyle name="Percent 18 3" xfId="2120"/>
    <cellStyle name="Percent 19" xfId="1525"/>
    <cellStyle name="Percent 19 2" xfId="3534"/>
    <cellStyle name="Percent 19 3" xfId="2121"/>
    <cellStyle name="Percent 2" xfId="1526"/>
    <cellStyle name="Percent 2 10" xfId="1527"/>
    <cellStyle name="Percent 2 10 2" xfId="3536"/>
    <cellStyle name="Percent 2 10 3" xfId="2122"/>
    <cellStyle name="Percent 2 11" xfId="1528"/>
    <cellStyle name="Percent 2 11 2" xfId="3537"/>
    <cellStyle name="Percent 2 11 3" xfId="2123"/>
    <cellStyle name="Percent 2 12" xfId="1529"/>
    <cellStyle name="Percent 2 12 2" xfId="3538"/>
    <cellStyle name="Percent 2 12 3" xfId="2124"/>
    <cellStyle name="Percent 2 13" xfId="1530"/>
    <cellStyle name="Percent 2 14" xfId="1531"/>
    <cellStyle name="Percent 2 15" xfId="1532"/>
    <cellStyle name="Percent 2 15 2" xfId="3539"/>
    <cellStyle name="Percent 2 15 3" xfId="2218"/>
    <cellStyle name="Percent 2 16" xfId="3535"/>
    <cellStyle name="Percent 2 17" xfId="1746"/>
    <cellStyle name="Percent 2 2" xfId="1533"/>
    <cellStyle name="Percent 2 2 2" xfId="1534"/>
    <cellStyle name="Percent 2 2 2 2" xfId="1535"/>
    <cellStyle name="Percent 2 2 2 2 2" xfId="1536"/>
    <cellStyle name="Percent 2 2 2 2 2 2" xfId="3542"/>
    <cellStyle name="Percent 2 2 2 2 2 3" xfId="2627"/>
    <cellStyle name="Percent 2 2 2 2 3" xfId="3541"/>
    <cellStyle name="Percent 2 2 2 2 4" xfId="2435"/>
    <cellStyle name="Percent 2 2 2 3" xfId="1537"/>
    <cellStyle name="Percent 2 2 2 3 2" xfId="3543"/>
    <cellStyle name="Percent 2 2 2 3 3" xfId="2530"/>
    <cellStyle name="Percent 2 2 2 4" xfId="3540"/>
    <cellStyle name="Percent 2 2 2 5" xfId="2338"/>
    <cellStyle name="Percent 2 2 3" xfId="1538"/>
    <cellStyle name="Percent 2 2 3 2" xfId="1539"/>
    <cellStyle name="Percent 2 2 3 2 2" xfId="1540"/>
    <cellStyle name="Percent 2 2 3 2 2 2" xfId="3546"/>
    <cellStyle name="Percent 2 2 3 2 2 3" xfId="2575"/>
    <cellStyle name="Percent 2 2 3 2 3" xfId="3545"/>
    <cellStyle name="Percent 2 2 3 2 4" xfId="2383"/>
    <cellStyle name="Percent 2 2 3 3" xfId="1541"/>
    <cellStyle name="Percent 2 2 3 3 2" xfId="3547"/>
    <cellStyle name="Percent 2 2 3 3 3" xfId="2478"/>
    <cellStyle name="Percent 2 2 3 4" xfId="3544"/>
    <cellStyle name="Percent 2 2 3 5" xfId="2286"/>
    <cellStyle name="Percent 2 2 4" xfId="1542"/>
    <cellStyle name="Percent 2 2 4 2" xfId="1543"/>
    <cellStyle name="Percent 2 2 4 2 2" xfId="3549"/>
    <cellStyle name="Percent 2 2 4 2 3" xfId="2546"/>
    <cellStyle name="Percent 2 2 4 3" xfId="3548"/>
    <cellStyle name="Percent 2 2 4 4" xfId="2354"/>
    <cellStyle name="Percent 2 2 5" xfId="1544"/>
    <cellStyle name="Percent 2 2 5 2" xfId="3550"/>
    <cellStyle name="Percent 2 2 5 3" xfId="2449"/>
    <cellStyle name="Percent 2 2 6" xfId="1545"/>
    <cellStyle name="Percent 2 2 6 2" xfId="3551"/>
    <cellStyle name="Percent 2 2 6 3" xfId="2664"/>
    <cellStyle name="Percent 2 2 7" xfId="1546"/>
    <cellStyle name="Percent 2 2 7 2" xfId="3552"/>
    <cellStyle name="Percent 2 2 7 3" xfId="2257"/>
    <cellStyle name="Percent 2 3" xfId="1547"/>
    <cellStyle name="Percent 2 3 2" xfId="1548"/>
    <cellStyle name="Percent 2 3 2 2" xfId="1549"/>
    <cellStyle name="Percent 2 3 2 2 2" xfId="1550"/>
    <cellStyle name="Percent 2 3 2 2 2 2" xfId="3556"/>
    <cellStyle name="Percent 2 3 2 2 2 3" xfId="2628"/>
    <cellStyle name="Percent 2 3 2 2 3" xfId="3555"/>
    <cellStyle name="Percent 2 3 2 2 4" xfId="2436"/>
    <cellStyle name="Percent 2 3 2 3" xfId="1551"/>
    <cellStyle name="Percent 2 3 2 3 2" xfId="3557"/>
    <cellStyle name="Percent 2 3 2 3 3" xfId="2531"/>
    <cellStyle name="Percent 2 3 2 4" xfId="1552"/>
    <cellStyle name="Percent 2 3 2 4 2" xfId="3558"/>
    <cellStyle name="Percent 2 3 2 4 3" xfId="2339"/>
    <cellStyle name="Percent 2 3 2 5" xfId="3554"/>
    <cellStyle name="Percent 2 3 2 6" xfId="2126"/>
    <cellStyle name="Percent 2 3 3" xfId="1553"/>
    <cellStyle name="Percent 2 3 3 2" xfId="1554"/>
    <cellStyle name="Percent 2 3 3 2 2" xfId="1555"/>
    <cellStyle name="Percent 2 3 3 2 2 2" xfId="3561"/>
    <cellStyle name="Percent 2 3 3 2 2 3" xfId="2577"/>
    <cellStyle name="Percent 2 3 3 2 3" xfId="3560"/>
    <cellStyle name="Percent 2 3 3 2 4" xfId="2385"/>
    <cellStyle name="Percent 2 3 3 3" xfId="1556"/>
    <cellStyle name="Percent 2 3 3 3 2" xfId="3562"/>
    <cellStyle name="Percent 2 3 3 3 3" xfId="2480"/>
    <cellStyle name="Percent 2 3 3 4" xfId="3559"/>
    <cellStyle name="Percent 2 3 3 5" xfId="2288"/>
    <cellStyle name="Percent 2 3 4" xfId="1557"/>
    <cellStyle name="Percent 2 3 4 2" xfId="1558"/>
    <cellStyle name="Percent 2 3 4 2 2" xfId="3564"/>
    <cellStyle name="Percent 2 3 4 2 3" xfId="2563"/>
    <cellStyle name="Percent 2 3 4 3" xfId="3563"/>
    <cellStyle name="Percent 2 3 4 4" xfId="2371"/>
    <cellStyle name="Percent 2 3 5" xfId="1559"/>
    <cellStyle name="Percent 2 3 5 2" xfId="3565"/>
    <cellStyle name="Percent 2 3 5 3" xfId="2466"/>
    <cellStyle name="Percent 2 3 6" xfId="1560"/>
    <cellStyle name="Percent 2 3 6 2" xfId="3566"/>
    <cellStyle name="Percent 2 3 6 3" xfId="2665"/>
    <cellStyle name="Percent 2 3 7" xfId="1561"/>
    <cellStyle name="Percent 2 3 7 2" xfId="3567"/>
    <cellStyle name="Percent 2 3 7 3" xfId="2274"/>
    <cellStyle name="Percent 2 3 8" xfId="3553"/>
    <cellStyle name="Percent 2 3 9" xfId="2125"/>
    <cellStyle name="Percent 2 4" xfId="1562"/>
    <cellStyle name="Percent 2 4 2" xfId="1563"/>
    <cellStyle name="Percent 2 4 2 2" xfId="3569"/>
    <cellStyle name="Percent 2 4 2 3" xfId="2128"/>
    <cellStyle name="Percent 2 4 3" xfId="3568"/>
    <cellStyle name="Percent 2 4 4" xfId="2127"/>
    <cellStyle name="Percent 2 5" xfId="1564"/>
    <cellStyle name="Percent 2 5 2" xfId="1565"/>
    <cellStyle name="Percent 2 5 2 2" xfId="3571"/>
    <cellStyle name="Percent 2 5 2 3" xfId="2130"/>
    <cellStyle name="Percent 2 5 3" xfId="3570"/>
    <cellStyle name="Percent 2 5 4" xfId="2129"/>
    <cellStyle name="Percent 2 6" xfId="1566"/>
    <cellStyle name="Percent 2 6 2" xfId="1567"/>
    <cellStyle name="Percent 2 6 2 2" xfId="3573"/>
    <cellStyle name="Percent 2 6 2 3" xfId="2132"/>
    <cellStyle name="Percent 2 6 3" xfId="3572"/>
    <cellStyle name="Percent 2 6 4" xfId="2131"/>
    <cellStyle name="Percent 2 7" xfId="1568"/>
    <cellStyle name="Percent 2 8" xfId="1569"/>
    <cellStyle name="Percent 2 8 2" xfId="1570"/>
    <cellStyle name="Percent 2 8 2 2" xfId="3575"/>
    <cellStyle name="Percent 2 8 2 3" xfId="2134"/>
    <cellStyle name="Percent 2 8 3" xfId="3574"/>
    <cellStyle name="Percent 2 8 4" xfId="2133"/>
    <cellStyle name="Percent 2 9" xfId="1571"/>
    <cellStyle name="Percent 2 9 2" xfId="1572"/>
    <cellStyle name="Percent 2 9 2 2" xfId="3577"/>
    <cellStyle name="Percent 2 9 2 3" xfId="2136"/>
    <cellStyle name="Percent 2 9 3" xfId="3576"/>
    <cellStyle name="Percent 2 9 4" xfId="2135"/>
    <cellStyle name="Percent 20" xfId="1573"/>
    <cellStyle name="Percent 20 2" xfId="3578"/>
    <cellStyle name="Percent 20 3" xfId="2137"/>
    <cellStyle name="Percent 21" xfId="1574"/>
    <cellStyle name="Percent 21 2" xfId="3579"/>
    <cellStyle name="Percent 21 3" xfId="2138"/>
    <cellStyle name="Percent 22" xfId="1575"/>
    <cellStyle name="Percent 22 2" xfId="3580"/>
    <cellStyle name="Percent 22 3" xfId="2139"/>
    <cellStyle name="Percent 23" xfId="1576"/>
    <cellStyle name="Percent 23 2" xfId="3581"/>
    <cellStyle name="Percent 23 3" xfId="2140"/>
    <cellStyle name="Percent 24" xfId="1577"/>
    <cellStyle name="Percent 24 2" xfId="3582"/>
    <cellStyle name="Percent 24 3" xfId="2141"/>
    <cellStyle name="Percent 25" xfId="1578"/>
    <cellStyle name="Percent 25 2" xfId="3583"/>
    <cellStyle name="Percent 25 3" xfId="2142"/>
    <cellStyle name="Percent 26" xfId="1579"/>
    <cellStyle name="Percent 26 2" xfId="3584"/>
    <cellStyle name="Percent 26 3" xfId="2143"/>
    <cellStyle name="Percent 27" xfId="1580"/>
    <cellStyle name="Percent 27 2" xfId="3585"/>
    <cellStyle name="Percent 27 3" xfId="2144"/>
    <cellStyle name="Percent 28" xfId="1581"/>
    <cellStyle name="Percent 28 2" xfId="3586"/>
    <cellStyle name="Percent 28 3" xfId="2145"/>
    <cellStyle name="Percent 29" xfId="1582"/>
    <cellStyle name="Percent 3" xfId="1583"/>
    <cellStyle name="Percent 3 2" xfId="1584"/>
    <cellStyle name="Percent 3 2 2" xfId="1585"/>
    <cellStyle name="Percent 3 3" xfId="1586"/>
    <cellStyle name="Percent 3 4" xfId="1587"/>
    <cellStyle name="Percent 3 5" xfId="3587"/>
    <cellStyle name="Percent 3 6" xfId="2146"/>
    <cellStyle name="Percent 30" xfId="1588"/>
    <cellStyle name="Percent 31" xfId="1589"/>
    <cellStyle name="Percent 32" xfId="1590"/>
    <cellStyle name="Percent 33" xfId="1591"/>
    <cellStyle name="Percent 34" xfId="1592"/>
    <cellStyle name="Percent 35" xfId="1593"/>
    <cellStyle name="Percent 36" xfId="1594"/>
    <cellStyle name="Percent 37" xfId="1595"/>
    <cellStyle name="Percent 38" xfId="1596"/>
    <cellStyle name="Percent 39" xfId="1597"/>
    <cellStyle name="Percent 4" xfId="1598"/>
    <cellStyle name="Percent 4 2" xfId="1599"/>
    <cellStyle name="Percent 4 2 2" xfId="1600"/>
    <cellStyle name="Percent 4 2 2 2" xfId="3589"/>
    <cellStyle name="Percent 4 2 2 3" xfId="2629"/>
    <cellStyle name="Percent 4 2 3" xfId="1601"/>
    <cellStyle name="Percent 4 2 3 2" xfId="3590"/>
    <cellStyle name="Percent 4 2 3 3" xfId="2437"/>
    <cellStyle name="Percent 4 3" xfId="1602"/>
    <cellStyle name="Percent 4 3 2" xfId="1603"/>
    <cellStyle name="Percent 4 3 2 2" xfId="3591"/>
    <cellStyle name="Percent 4 3 2 3" xfId="2532"/>
    <cellStyle name="Percent 4 4" xfId="1604"/>
    <cellStyle name="Percent 4 4 2" xfId="3592"/>
    <cellStyle name="Percent 4 4 3" xfId="2666"/>
    <cellStyle name="Percent 4 5" xfId="1605"/>
    <cellStyle name="Percent 4 5 2" xfId="3593"/>
    <cellStyle name="Percent 4 5 3" xfId="2340"/>
    <cellStyle name="Percent 4 6" xfId="3588"/>
    <cellStyle name="Percent 4 7" xfId="2147"/>
    <cellStyle name="Percent 40" xfId="1606"/>
    <cellStyle name="Percent 41" xfId="1607"/>
    <cellStyle name="Percent 42" xfId="1608"/>
    <cellStyle name="Percent 43" xfId="1609"/>
    <cellStyle name="Percent 44" xfId="1610"/>
    <cellStyle name="Percent 45" xfId="1611"/>
    <cellStyle name="Percent 46" xfId="1612"/>
    <cellStyle name="Percent 47" xfId="1613"/>
    <cellStyle name="Percent 48" xfId="1614"/>
    <cellStyle name="Percent 49" xfId="1615"/>
    <cellStyle name="Percent 5" xfId="1616"/>
    <cellStyle name="Percent 5 2" xfId="1617"/>
    <cellStyle name="Percent 50" xfId="1618"/>
    <cellStyle name="Percent 51" xfId="1619"/>
    <cellStyle name="Percent 52" xfId="1620"/>
    <cellStyle name="Percent 53" xfId="1621"/>
    <cellStyle name="Percent 54" xfId="1622"/>
    <cellStyle name="Percent 55" xfId="1623"/>
    <cellStyle name="Percent 56" xfId="1624"/>
    <cellStyle name="Percent 57" xfId="1625"/>
    <cellStyle name="Percent 58" xfId="1626"/>
    <cellStyle name="Percent 59" xfId="1627"/>
    <cellStyle name="Percent 6" xfId="1628"/>
    <cellStyle name="Percent 6 2" xfId="1629"/>
    <cellStyle name="Percent 6 2 2" xfId="1630"/>
    <cellStyle name="Percent 6 2 2 2" xfId="3596"/>
    <cellStyle name="Percent 6 2 2 3" xfId="2534"/>
    <cellStyle name="Percent 6 2 3" xfId="3595"/>
    <cellStyle name="Percent 6 2 4" xfId="2149"/>
    <cellStyle name="Percent 6 3" xfId="1631"/>
    <cellStyle name="Percent 6 3 2" xfId="3597"/>
    <cellStyle name="Percent 6 3 3" xfId="2342"/>
    <cellStyle name="Percent 6 4" xfId="3594"/>
    <cellStyle name="Percent 6 5" xfId="2148"/>
    <cellStyle name="Percent 60" xfId="1632"/>
    <cellStyle name="Percent 61" xfId="1633"/>
    <cellStyle name="Percent 62" xfId="1634"/>
    <cellStyle name="Percent 63" xfId="1635"/>
    <cellStyle name="Percent 64" xfId="1636"/>
    <cellStyle name="Percent 65" xfId="1637"/>
    <cellStyle name="Percent 66" xfId="1638"/>
    <cellStyle name="Percent 67" xfId="1639"/>
    <cellStyle name="Percent 68" xfId="1640"/>
    <cellStyle name="Percent 69" xfId="1641"/>
    <cellStyle name="Percent 7" xfId="1642"/>
    <cellStyle name="Percent 7 2" xfId="1643"/>
    <cellStyle name="Percent 7 2 2" xfId="3599"/>
    <cellStyle name="Percent 7 2 3" xfId="2151"/>
    <cellStyle name="Percent 7 3" xfId="3598"/>
    <cellStyle name="Percent 7 4" xfId="2150"/>
    <cellStyle name="Percent 70" xfId="1644"/>
    <cellStyle name="Percent 70 2" xfId="3600"/>
    <cellStyle name="Percent 70 3" xfId="2159"/>
    <cellStyle name="Percent 71" xfId="1645"/>
    <cellStyle name="Percent 71 2" xfId="3601"/>
    <cellStyle name="Percent 71 3" xfId="2161"/>
    <cellStyle name="Percent 72" xfId="1646"/>
    <cellStyle name="Percent 72 2" xfId="3602"/>
    <cellStyle name="Percent 72 3" xfId="2164"/>
    <cellStyle name="Percent 73" xfId="1647"/>
    <cellStyle name="Percent 74" xfId="1648"/>
    <cellStyle name="Percent 75" xfId="1649"/>
    <cellStyle name="Percent 76" xfId="1650"/>
    <cellStyle name="Percent 77" xfId="1651"/>
    <cellStyle name="Percent 78" xfId="1652"/>
    <cellStyle name="Percent 79" xfId="1653"/>
    <cellStyle name="Percent 8" xfId="1654"/>
    <cellStyle name="Percent 8 2" xfId="1655"/>
    <cellStyle name="Percent 8 2 2" xfId="3604"/>
    <cellStyle name="Percent 8 2 3" xfId="2153"/>
    <cellStyle name="Percent 8 3" xfId="3603"/>
    <cellStyle name="Percent 8 4" xfId="2152"/>
    <cellStyle name="Percent 80" xfId="1656"/>
    <cellStyle name="Percent 81" xfId="1657"/>
    <cellStyle name="Percent 82" xfId="1658"/>
    <cellStyle name="Percent 83" xfId="1659"/>
    <cellStyle name="Percent 84" xfId="1660"/>
    <cellStyle name="Percent 85" xfId="1661"/>
    <cellStyle name="Percent 86" xfId="1662"/>
    <cellStyle name="Percent 87" xfId="1663"/>
    <cellStyle name="Percent 88" xfId="1664"/>
    <cellStyle name="Percent 89" xfId="1665"/>
    <cellStyle name="Percent 9" xfId="1666"/>
    <cellStyle name="Percent 9 2" xfId="1667"/>
    <cellStyle name="Percent 90" xfId="1668"/>
    <cellStyle name="Percent 91" xfId="1669"/>
    <cellStyle name="Percent 92" xfId="1670"/>
    <cellStyle name="Percent 93" xfId="1671"/>
    <cellStyle name="Percent 94" xfId="1672"/>
    <cellStyle name="Percent 95" xfId="1673"/>
    <cellStyle name="Percent 96" xfId="1674"/>
    <cellStyle name="Percent 97" xfId="1675"/>
    <cellStyle name="Percent 98" xfId="1676"/>
    <cellStyle name="Percent 99" xfId="1677"/>
    <cellStyle name="Price" xfId="1678"/>
    <cellStyle name="Price 2" xfId="2191"/>
    <cellStyle name="PSChar" xfId="1679"/>
    <cellStyle name="Range Header" xfId="1680"/>
    <cellStyle name="Range Header 10" xfId="1681"/>
    <cellStyle name="Range Header 11" xfId="1682"/>
    <cellStyle name="Range Header 2" xfId="1683"/>
    <cellStyle name="Range Header 2 2" xfId="1684"/>
    <cellStyle name="Range Header 2 2 2" xfId="3605"/>
    <cellStyle name="Range Header 2 3" xfId="1685"/>
    <cellStyle name="Range Header 2 4" xfId="1686"/>
    <cellStyle name="Range Header 2 5" xfId="1687"/>
    <cellStyle name="Range Header 2_LTCP" xfId="1688"/>
    <cellStyle name="Range Header 3" xfId="1689"/>
    <cellStyle name="Range Header 4" xfId="1690"/>
    <cellStyle name="Range Header 5" xfId="1691"/>
    <cellStyle name="Range Header 6" xfId="1692"/>
    <cellStyle name="Range Header 7" xfId="1693"/>
    <cellStyle name="Range Header 8" xfId="1694"/>
    <cellStyle name="Range Header 9" xfId="1695"/>
    <cellStyle name="Range Header_Bill Compare" xfId="1696"/>
    <cellStyle name="Rate" xfId="1697"/>
    <cellStyle name="Rate 2" xfId="1698"/>
    <cellStyle name="Reference" xfId="1699"/>
    <cellStyle name="Reference 2" xfId="1700"/>
    <cellStyle name="Reference 3" xfId="1701"/>
    <cellStyle name="Report" xfId="1702"/>
    <cellStyle name="Report - Style5" xfId="1703"/>
    <cellStyle name="Report - Style6" xfId="1704"/>
    <cellStyle name="Report - Style6 2" xfId="3606"/>
    <cellStyle name="Report - Style6 3" xfId="3615"/>
    <cellStyle name="Report - Style6 4" xfId="2154"/>
    <cellStyle name="Report - Style7" xfId="1705"/>
    <cellStyle name="Report - Style7 2" xfId="3607"/>
    <cellStyle name="Report - Style8" xfId="1706"/>
    <cellStyle name="Report - Style8 2" xfId="3608"/>
    <cellStyle name="Report Bar" xfId="1707"/>
    <cellStyle name="Report Bar 2" xfId="3609"/>
    <cellStyle name="Report Heading" xfId="1708"/>
    <cellStyle name="Report Heading 2" xfId="3610"/>
    <cellStyle name="Report Heading 3" xfId="2155"/>
    <cellStyle name="Report Unit Cost" xfId="1709"/>
    <cellStyle name="Report_BPUB 2011 Rate Design_March 2011 (FA) (3)" xfId="1710"/>
    <cellStyle name="Reports Total" xfId="1711"/>
    <cellStyle name="Reports Total 2" xfId="3611"/>
    <cellStyle name="Reports Total 3" xfId="3616"/>
    <cellStyle name="Result" xfId="1712"/>
    <cellStyle name="REVISED" xfId="1713"/>
    <cellStyle name="REVISED 2" xfId="1714"/>
    <cellStyle name="REVISED 3" xfId="1715"/>
    <cellStyle name="SectionBreak" xfId="1716"/>
    <cellStyle name="StmtTtl1" xfId="1717"/>
    <cellStyle name="StmtTtl2" xfId="1718"/>
    <cellStyle name="StmtTtl2 2" xfId="3612"/>
    <cellStyle name="StmtTtl2 3" xfId="3617"/>
    <cellStyle name="Style 1" xfId="1719"/>
    <cellStyle name="Test" xfId="1720"/>
    <cellStyle name="Text" xfId="1721"/>
    <cellStyle name="Thousands" xfId="1722"/>
    <cellStyle name="Thousands 2" xfId="2192"/>
    <cellStyle name="Title 2" xfId="1723"/>
    <cellStyle name="Title 2 2" xfId="1724"/>
    <cellStyle name="Title 3" xfId="1725"/>
    <cellStyle name="Title 4" xfId="1726"/>
    <cellStyle name="Title: - Style3" xfId="1727"/>
    <cellStyle name="Title: - Style4" xfId="1728"/>
    <cellStyle name="Title: Major" xfId="1729"/>
    <cellStyle name="Title: Minor" xfId="1730"/>
    <cellStyle name="Title: Worksheet" xfId="1731"/>
    <cellStyle name="Titles" xfId="1732"/>
    <cellStyle name="Total 2" xfId="1733"/>
    <cellStyle name="Total 2 2" xfId="1734"/>
    <cellStyle name="Total 2 2 2" xfId="3614"/>
    <cellStyle name="Total 2 3" xfId="1735"/>
    <cellStyle name="Total 2 4" xfId="3613"/>
    <cellStyle name="Total 3" xfId="1736"/>
    <cellStyle name="Unprotected" xfId="1737"/>
    <cellStyle name="Version" xfId="1738"/>
    <cellStyle name="Warning Text 2" xfId="1739"/>
    <cellStyle name="Warning Text 3" xfId="1740"/>
    <cellStyle name="Years" xfId="1741"/>
    <cellStyle name="Yes/No Switch" xfId="1742"/>
  </cellStyles>
  <dxfs count="4"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sz val="9"/>
        <color theme="1"/>
        <name val="Calibri"/>
        <scheme val="minor"/>
      </font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SlicerStyleLight1 2" pivot="0" table="0" count="2">
      <tableStyleElement type="wholeTable" dxfId="3"/>
      <tableStyleElement type="headerRow" dxfId="2"/>
    </tableStyle>
    <tableStyle name="SlicerStyleLight1 3" pivot="0" table="0" count="2">
      <tableStyleElement type="wholeTable" dxfId="1"/>
      <tableStyleElement type="headerRow" dxfId="0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cd.projectcentral.bv.com/sites/195603/Documents/100%20COS%20AND%20RATES/Model/PWD_FinPlan_17_Ver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bout"/>
      <sheetName val="Cash Flow"/>
      <sheetName val="Capital Program"/>
      <sheetName val="Affordability"/>
      <sheetName val="Output"/>
      <sheetName val="Model User Input"/>
      <sheetName val="Assumptions"/>
      <sheetName val="Assumption #s"/>
      <sheetName val="Customer"/>
      <sheetName val="Bill Tab"/>
      <sheetName val="Bill Impacts"/>
      <sheetName val="Dashboard"/>
      <sheetName val="Other Revenue"/>
      <sheetName val="Direct O&amp;M"/>
      <sheetName val="InterDept O&amp;M"/>
      <sheetName val="O&amp;M Adjustments"/>
      <sheetName val="O&amp;M Allocations"/>
      <sheetName val="DS"/>
      <sheetName val="Capital Projects"/>
      <sheetName val="CF Data"/>
      <sheetName val="Funds"/>
      <sheetName val="Index"/>
      <sheetName val="PFM_Stormwater"/>
      <sheetName val="BV_E1_Testimony Tables"/>
      <sheetName val="BVE3_Testimony Tables"/>
      <sheetName val="Assumptions Tables"/>
      <sheetName val="Rate Study Tables"/>
      <sheetName val="Rate Study Tables (2)"/>
      <sheetName val="Rate Study Tables DETAIL"/>
      <sheetName val="Council Request"/>
      <sheetName val="Bond Report Tables"/>
      <sheetName val="Bond Report Tables (2)"/>
      <sheetName val="COS Tables"/>
      <sheetName val="Rate Board Tbls"/>
      <sheetName val="Capital Projects - Scen 1"/>
      <sheetName val="Capital Projects - Scen 2"/>
      <sheetName val="Capital Projects - Scen 3"/>
      <sheetName val="Capital Projects - Scen 4"/>
      <sheetName val="Capital Projects - Scen 5"/>
      <sheetName val="Cost of Service"/>
      <sheetName val="EPA"/>
      <sheetName val="Cash Flow Results"/>
      <sheetName val="Cash Flow Results (OLD)"/>
      <sheetName val="Dashboard Data"/>
      <sheetName val="Dashboard Storage"/>
      <sheetName val="L4 Model User Inputs"/>
      <sheetName val="L4 Output-Graphics"/>
      <sheetName val="Exec Summary"/>
      <sheetName val="Link"/>
      <sheetName val="Issues Log"/>
      <sheetName val="Tutorial"/>
      <sheetName val="Graphs"/>
      <sheetName val="Chart2"/>
      <sheetName val="Actual to Budget Charts"/>
    </sheetNames>
    <sheetDataSet>
      <sheetData sheetId="0">
        <row r="4">
          <cell r="A4">
            <v>2017</v>
          </cell>
        </row>
        <row r="5">
          <cell r="A5">
            <v>2019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3">
          <cell r="C13">
            <v>2017</v>
          </cell>
          <cell r="D13">
            <v>2018</v>
          </cell>
          <cell r="E13">
            <v>2019</v>
          </cell>
          <cell r="F13">
            <v>2020</v>
          </cell>
          <cell r="G13">
            <v>2021</v>
          </cell>
          <cell r="H13">
            <v>2022</v>
          </cell>
          <cell r="I13">
            <v>2023</v>
          </cell>
          <cell r="J13">
            <v>2024</v>
          </cell>
          <cell r="K13">
            <v>2025</v>
          </cell>
          <cell r="L13">
            <v>2026</v>
          </cell>
          <cell r="M13">
            <v>2027</v>
          </cell>
          <cell r="N13">
            <v>2028</v>
          </cell>
          <cell r="O13">
            <v>2029</v>
          </cell>
          <cell r="P13">
            <v>2030</v>
          </cell>
          <cell r="Q13">
            <v>2031</v>
          </cell>
          <cell r="R13">
            <v>2032</v>
          </cell>
        </row>
        <row r="14">
          <cell r="C14">
            <v>3</v>
          </cell>
          <cell r="D14">
            <v>4</v>
          </cell>
          <cell r="E14">
            <v>5</v>
          </cell>
          <cell r="F14">
            <v>6</v>
          </cell>
          <cell r="G14">
            <v>7</v>
          </cell>
          <cell r="H14">
            <v>8</v>
          </cell>
          <cell r="I14">
            <v>9</v>
          </cell>
          <cell r="J14">
            <v>10</v>
          </cell>
          <cell r="K14">
            <v>11</v>
          </cell>
          <cell r="L14">
            <v>12</v>
          </cell>
          <cell r="M14">
            <v>13</v>
          </cell>
          <cell r="N14">
            <v>14</v>
          </cell>
          <cell r="O14">
            <v>15</v>
          </cell>
          <cell r="P14">
            <v>16</v>
          </cell>
          <cell r="Q14">
            <v>17</v>
          </cell>
          <cell r="R14">
            <v>18</v>
          </cell>
        </row>
        <row r="15">
          <cell r="A15" t="str">
            <v>Account - Small Decrease</v>
          </cell>
          <cell r="C15">
            <v>-2.3657886390715088E-2</v>
          </cell>
          <cell r="D15">
            <v>-2.4231144043616037E-2</v>
          </cell>
          <cell r="E15">
            <v>-2.4832872965458885E-2</v>
          </cell>
          <cell r="F15">
            <v>-2.5465248240037597E-2</v>
          </cell>
          <cell r="G15">
            <v>-2.6130672296753588E-2</v>
          </cell>
          <cell r="H15">
            <v>-2.6831805411080767E-2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Account - Small Growth</v>
          </cell>
          <cell r="C16">
            <v>5.0556941495538688E-4</v>
          </cell>
          <cell r="D16">
            <v>5.0531394368058535E-4</v>
          </cell>
          <cell r="E16">
            <v>5.0505873046158278E-4</v>
          </cell>
          <cell r="F16">
            <v>5.0480377490802475E-4</v>
          </cell>
          <cell r="G16">
            <v>5.0454907662955684E-4</v>
          </cell>
          <cell r="H16">
            <v>5.0429463523693485E-4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Account - Med Growth</v>
          </cell>
          <cell r="C17">
            <v>0.02</v>
          </cell>
          <cell r="D17">
            <v>0.02</v>
          </cell>
          <cell r="E17">
            <v>0.02</v>
          </cell>
          <cell r="F17">
            <v>0.02</v>
          </cell>
          <cell r="G17">
            <v>0.02</v>
          </cell>
          <cell r="H17">
            <v>0.02</v>
          </cell>
          <cell r="I17">
            <v>0.02</v>
          </cell>
          <cell r="J17">
            <v>0.02</v>
          </cell>
          <cell r="K17">
            <v>0.02</v>
          </cell>
          <cell r="L17">
            <v>0.02</v>
          </cell>
          <cell r="M17">
            <v>0.02</v>
          </cell>
          <cell r="N17">
            <v>0.02</v>
          </cell>
          <cell r="O17">
            <v>0.02</v>
          </cell>
          <cell r="P17">
            <v>0.02</v>
          </cell>
          <cell r="Q17">
            <v>0.02</v>
          </cell>
          <cell r="R17">
            <v>0.02</v>
          </cell>
        </row>
        <row r="18">
          <cell r="A18" t="str">
            <v>Account - Large Growth</v>
          </cell>
          <cell r="C18">
            <v>0.05</v>
          </cell>
          <cell r="D18">
            <v>0.05</v>
          </cell>
          <cell r="E18">
            <v>0.05</v>
          </cell>
          <cell r="F18">
            <v>0.05</v>
          </cell>
          <cell r="G18">
            <v>0.05</v>
          </cell>
          <cell r="H18">
            <v>0.05</v>
          </cell>
          <cell r="I18">
            <v>0.05</v>
          </cell>
          <cell r="J18">
            <v>0.05</v>
          </cell>
          <cell r="K18">
            <v>0.05</v>
          </cell>
          <cell r="L18">
            <v>0.05</v>
          </cell>
          <cell r="M18">
            <v>0.05</v>
          </cell>
          <cell r="N18">
            <v>0.05</v>
          </cell>
          <cell r="O18">
            <v>0.05</v>
          </cell>
          <cell r="P18">
            <v>0.05</v>
          </cell>
          <cell r="Q18">
            <v>0.05</v>
          </cell>
          <cell r="R18">
            <v>0.05</v>
          </cell>
        </row>
        <row r="19">
          <cell r="A19" t="str">
            <v>Account - No Growth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5">
          <cell r="A25" t="str">
            <v>Volume - Small Decrease (SC)</v>
          </cell>
          <cell r="C25">
            <v>-1.7500000000000002E-2</v>
          </cell>
          <cell r="D25">
            <v>-1.7500000000000002E-2</v>
          </cell>
          <cell r="E25">
            <v>-1.7500000000000002E-2</v>
          </cell>
          <cell r="F25">
            <v>-1.7500000000000002E-2</v>
          </cell>
          <cell r="G25">
            <v>-1.7500000000000002E-2</v>
          </cell>
          <cell r="H25">
            <v>-1.7500000000000002E-2</v>
          </cell>
          <cell r="I25">
            <v>-1.7500000000000002E-2</v>
          </cell>
          <cell r="J25">
            <v>-1.7500000000000002E-2</v>
          </cell>
          <cell r="K25">
            <v>-1.7500000000000002E-2</v>
          </cell>
          <cell r="L25">
            <v>-1.7500000000000002E-2</v>
          </cell>
          <cell r="M25">
            <v>-1.7500000000000002E-2</v>
          </cell>
          <cell r="N25">
            <v>-1.7500000000000002E-2</v>
          </cell>
          <cell r="O25">
            <v>-1.7500000000000002E-2</v>
          </cell>
          <cell r="P25">
            <v>-1.7500000000000002E-2</v>
          </cell>
          <cell r="Q25">
            <v>-1.7500000000000002E-2</v>
          </cell>
          <cell r="R25">
            <v>-1.7500000000000002E-2</v>
          </cell>
        </row>
        <row r="26">
          <cell r="A26" t="str">
            <v>Volume - Small Decrease</v>
          </cell>
          <cell r="C26">
            <v>-1.7500000000000002E-2</v>
          </cell>
          <cell r="D26">
            <v>-1.7500000000000002E-2</v>
          </cell>
          <cell r="E26">
            <v>-1.7500000000000002E-2</v>
          </cell>
          <cell r="F26">
            <v>-1.7500000000000002E-2</v>
          </cell>
          <cell r="G26">
            <v>-1.7500000000000002E-2</v>
          </cell>
          <cell r="H26">
            <v>-1.7500000000000002E-2</v>
          </cell>
          <cell r="I26">
            <v>-1.7500000000000002E-2</v>
          </cell>
          <cell r="J26">
            <v>-1.7500000000000002E-2</v>
          </cell>
          <cell r="K26">
            <v>-1.7500000000000002E-2</v>
          </cell>
          <cell r="L26">
            <v>-1.7500000000000002E-2</v>
          </cell>
          <cell r="M26">
            <v>-1.7500000000000002E-2</v>
          </cell>
          <cell r="N26">
            <v>-1.7500000000000002E-2</v>
          </cell>
          <cell r="O26">
            <v>-1.7500000000000002E-2</v>
          </cell>
          <cell r="P26">
            <v>-1.7500000000000002E-2</v>
          </cell>
          <cell r="Q26">
            <v>-1.7500000000000002E-2</v>
          </cell>
          <cell r="R26">
            <v>-1.7500000000000002E-2</v>
          </cell>
        </row>
        <row r="27">
          <cell r="A27" t="str">
            <v>Volume - Small Decrease with Adjustment</v>
          </cell>
          <cell r="C27">
            <v>-1.7500000000000002E-2</v>
          </cell>
          <cell r="D27">
            <v>-1.7500000000000002E-2</v>
          </cell>
          <cell r="E27">
            <v>-1.5290000000000002E-2</v>
          </cell>
          <cell r="F27">
            <v>-1.3780000000000001E-2</v>
          </cell>
          <cell r="G27">
            <v>-1.4360000000000001E-2</v>
          </cell>
          <cell r="H27">
            <v>-1.6420000000000001E-2</v>
          </cell>
          <cell r="I27">
            <v>-1.7500000000000002E-2</v>
          </cell>
          <cell r="J27">
            <v>-1.7460000000000003E-2</v>
          </cell>
          <cell r="K27">
            <v>-1.7500000000000002E-2</v>
          </cell>
          <cell r="L27">
            <v>-1.7460000000000003E-2</v>
          </cell>
          <cell r="M27">
            <v>-1.7500000000000002E-2</v>
          </cell>
          <cell r="N27">
            <v>-1.7500000000000002E-2</v>
          </cell>
          <cell r="O27">
            <v>-1.7500000000000002E-2</v>
          </cell>
          <cell r="P27">
            <v>-1.7500000000000002E-2</v>
          </cell>
          <cell r="Q27">
            <v>-1.7500000000000002E-2</v>
          </cell>
          <cell r="R27">
            <v>-1.7500000000000002E-2</v>
          </cell>
        </row>
        <row r="28">
          <cell r="A28" t="str">
            <v>Volume - Small Growth</v>
          </cell>
          <cell r="C28">
            <v>0.01</v>
          </cell>
          <cell r="D28">
            <v>0.01</v>
          </cell>
          <cell r="E28">
            <v>0.01</v>
          </cell>
          <cell r="F28">
            <v>0.01</v>
          </cell>
          <cell r="G28">
            <v>0.01</v>
          </cell>
          <cell r="H28">
            <v>0.01</v>
          </cell>
          <cell r="I28">
            <v>0.01</v>
          </cell>
          <cell r="J28">
            <v>0.01</v>
          </cell>
          <cell r="K28">
            <v>0.01</v>
          </cell>
          <cell r="L28">
            <v>0.01</v>
          </cell>
          <cell r="M28">
            <v>0.01</v>
          </cell>
          <cell r="N28">
            <v>0.01</v>
          </cell>
          <cell r="O28">
            <v>0.01</v>
          </cell>
          <cell r="P28">
            <v>0.01</v>
          </cell>
          <cell r="Q28">
            <v>0.01</v>
          </cell>
          <cell r="R28">
            <v>0.01</v>
          </cell>
        </row>
        <row r="29">
          <cell r="A29" t="str">
            <v>Volume - Med Growth</v>
          </cell>
          <cell r="C29">
            <v>0.02</v>
          </cell>
          <cell r="D29">
            <v>0.02</v>
          </cell>
          <cell r="E29">
            <v>0.02</v>
          </cell>
          <cell r="F29">
            <v>0.02</v>
          </cell>
          <cell r="G29">
            <v>0.02</v>
          </cell>
          <cell r="H29">
            <v>0.02</v>
          </cell>
          <cell r="I29">
            <v>0.02</v>
          </cell>
          <cell r="J29">
            <v>0.02</v>
          </cell>
          <cell r="K29">
            <v>0.02</v>
          </cell>
          <cell r="L29">
            <v>0.02</v>
          </cell>
          <cell r="M29">
            <v>0.02</v>
          </cell>
          <cell r="N29">
            <v>0.02</v>
          </cell>
          <cell r="O29">
            <v>0.02</v>
          </cell>
          <cell r="P29">
            <v>0.02</v>
          </cell>
          <cell r="Q29">
            <v>0.02</v>
          </cell>
          <cell r="R29">
            <v>0.02</v>
          </cell>
        </row>
        <row r="30">
          <cell r="A30" t="str">
            <v>Volume - No Growth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Volume - No Growth with Adjustment</v>
          </cell>
          <cell r="C31">
            <v>0</v>
          </cell>
          <cell r="D31">
            <v>0</v>
          </cell>
          <cell r="E31">
            <v>2.2100000000000002E-3</v>
          </cell>
          <cell r="F31">
            <v>3.7200000000000002E-3</v>
          </cell>
          <cell r="G31">
            <v>3.14E-3</v>
          </cell>
          <cell r="H31">
            <v>1.08E-3</v>
          </cell>
          <cell r="I31">
            <v>0</v>
          </cell>
          <cell r="J31">
            <v>4.0000000000000003E-5</v>
          </cell>
          <cell r="K31">
            <v>0</v>
          </cell>
          <cell r="L31">
            <v>4.0000000000000003E-5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460">
          <cell r="A460" t="str">
            <v xml:space="preserve">Constant </v>
          </cell>
        </row>
        <row r="461">
          <cell r="A461" t="str">
            <v>Labor</v>
          </cell>
        </row>
        <row r="462">
          <cell r="A462" t="str">
            <v>Other Benefits</v>
          </cell>
        </row>
        <row r="463">
          <cell r="A463" t="str">
            <v>Pension</v>
          </cell>
        </row>
        <row r="464">
          <cell r="A464" t="str">
            <v>Pension Obligations</v>
          </cell>
        </row>
        <row r="465">
          <cell r="A465" t="str">
            <v>General</v>
          </cell>
        </row>
        <row r="466">
          <cell r="A466" t="str">
            <v>Property Leases</v>
          </cell>
        </row>
        <row r="467">
          <cell r="A467" t="str">
            <v>Other 200</v>
          </cell>
        </row>
        <row r="468">
          <cell r="A468" t="str">
            <v>Other 300</v>
          </cell>
        </row>
        <row r="469">
          <cell r="A469" t="str">
            <v>Other 400</v>
          </cell>
        </row>
        <row r="470">
          <cell r="A470" t="str">
            <v>Energy</v>
          </cell>
        </row>
        <row r="471">
          <cell r="A471" t="str">
            <v>Gas</v>
          </cell>
        </row>
        <row r="472">
          <cell r="A472" t="str">
            <v>Chemicals</v>
          </cell>
        </row>
        <row r="473">
          <cell r="A473" t="str">
            <v>Transfers</v>
          </cell>
        </row>
        <row r="478">
          <cell r="A478">
            <v>0</v>
          </cell>
        </row>
        <row r="479">
          <cell r="A479">
            <v>1</v>
          </cell>
        </row>
        <row r="480">
          <cell r="A480">
            <v>2</v>
          </cell>
        </row>
        <row r="481">
          <cell r="A481">
            <v>3</v>
          </cell>
        </row>
        <row r="482">
          <cell r="A482">
            <v>4</v>
          </cell>
        </row>
        <row r="483">
          <cell r="A483">
            <v>5</v>
          </cell>
        </row>
        <row r="499">
          <cell r="A499" t="str">
            <v>Small Residential</v>
          </cell>
        </row>
        <row r="500">
          <cell r="A500" t="str">
            <v>Large Residential</v>
          </cell>
        </row>
        <row r="501">
          <cell r="A501" t="str">
            <v>Commercial</v>
          </cell>
        </row>
        <row r="502">
          <cell r="A502" t="str">
            <v>Industrial</v>
          </cell>
        </row>
        <row r="503">
          <cell r="A503" t="str">
            <v>Other 1</v>
          </cell>
        </row>
        <row r="504">
          <cell r="A504" t="str">
            <v>Other 2</v>
          </cell>
        </row>
        <row r="523">
          <cell r="A523" t="str">
            <v>5/8"</v>
          </cell>
        </row>
        <row r="524">
          <cell r="A524" t="str">
            <v>3/4"</v>
          </cell>
        </row>
        <row r="525">
          <cell r="A525" t="str">
            <v>1"</v>
          </cell>
        </row>
        <row r="526">
          <cell r="A526" t="str">
            <v>1 1/4"</v>
          </cell>
        </row>
        <row r="527">
          <cell r="A527" t="str">
            <v>1 1/2"</v>
          </cell>
        </row>
        <row r="528">
          <cell r="A528" t="str">
            <v>2"</v>
          </cell>
        </row>
        <row r="529">
          <cell r="A529" t="str">
            <v>3"</v>
          </cell>
        </row>
        <row r="530">
          <cell r="A530" t="str">
            <v>4"</v>
          </cell>
        </row>
        <row r="531">
          <cell r="A531" t="str">
            <v>6"</v>
          </cell>
        </row>
        <row r="532">
          <cell r="A532" t="str">
            <v>8"</v>
          </cell>
        </row>
        <row r="533">
          <cell r="A533" t="str">
            <v>10"</v>
          </cell>
        </row>
        <row r="534">
          <cell r="A534" t="str">
            <v>12"</v>
          </cell>
        </row>
        <row r="535">
          <cell r="A535">
            <v>0</v>
          </cell>
        </row>
        <row r="1471">
          <cell r="A1471" t="str">
            <v>Low</v>
          </cell>
          <cell r="B1471">
            <v>0</v>
          </cell>
        </row>
        <row r="1472">
          <cell r="A1472" t="str">
            <v>Medium</v>
          </cell>
          <cell r="B1472">
            <v>2.5000000000000001E-2</v>
          </cell>
        </row>
        <row r="1473">
          <cell r="A1473" t="str">
            <v>High</v>
          </cell>
          <cell r="B1473">
            <v>2.5000000000000001E-2</v>
          </cell>
        </row>
      </sheetData>
      <sheetData sheetId="9"/>
      <sheetData sheetId="10"/>
      <sheetData sheetId="11"/>
      <sheetData sheetId="12">
        <row r="14">
          <cell r="G14">
            <v>5</v>
          </cell>
        </row>
        <row r="18">
          <cell r="D18">
            <v>130</v>
          </cell>
        </row>
        <row r="21">
          <cell r="D21">
            <v>0</v>
          </cell>
        </row>
        <row r="24">
          <cell r="D24">
            <v>0</v>
          </cell>
        </row>
        <row r="35">
          <cell r="D35">
            <v>9.1999999999999993</v>
          </cell>
        </row>
        <row r="57">
          <cell r="D57">
            <v>0</v>
          </cell>
        </row>
        <row r="61">
          <cell r="D61">
            <v>14.4</v>
          </cell>
        </row>
        <row r="114">
          <cell r="BA114" t="str">
            <v>Water System</v>
          </cell>
        </row>
        <row r="115">
          <cell r="BA115" t="str">
            <v>Wastewater System</v>
          </cell>
        </row>
        <row r="116">
          <cell r="BA116" t="str">
            <v>Combined System</v>
          </cell>
        </row>
      </sheetData>
      <sheetData sheetId="13"/>
      <sheetData sheetId="14">
        <row r="96">
          <cell r="AO96">
            <v>98158995</v>
          </cell>
          <cell r="AP96">
            <v>98442849</v>
          </cell>
        </row>
        <row r="522">
          <cell r="K522">
            <v>0.84734855275789589</v>
          </cell>
        </row>
      </sheetData>
      <sheetData sheetId="15"/>
      <sheetData sheetId="16">
        <row r="11">
          <cell r="A11" t="b">
            <v>1</v>
          </cell>
        </row>
        <row r="12">
          <cell r="A12" t="b">
            <v>1</v>
          </cell>
        </row>
        <row r="13">
          <cell r="A13" t="b">
            <v>1</v>
          </cell>
        </row>
        <row r="14">
          <cell r="A14" t="b">
            <v>1</v>
          </cell>
        </row>
        <row r="15">
          <cell r="A15" t="b">
            <v>1</v>
          </cell>
        </row>
        <row r="16">
          <cell r="A16" t="b">
            <v>1</v>
          </cell>
        </row>
        <row r="17">
          <cell r="A17" t="b">
            <v>1</v>
          </cell>
        </row>
        <row r="18">
          <cell r="A18" t="b">
            <v>1</v>
          </cell>
        </row>
        <row r="19">
          <cell r="A19" t="b">
            <v>1</v>
          </cell>
        </row>
        <row r="20">
          <cell r="A20" t="b">
            <v>1</v>
          </cell>
        </row>
        <row r="21">
          <cell r="A21" t="b">
            <v>1</v>
          </cell>
        </row>
      </sheetData>
      <sheetData sheetId="17"/>
      <sheetData sheetId="18"/>
      <sheetData sheetId="19">
        <row r="12">
          <cell r="Y12">
            <v>1</v>
          </cell>
        </row>
        <row r="13">
          <cell r="Y13">
            <v>2</v>
          </cell>
        </row>
        <row r="14">
          <cell r="Y14">
            <v>3</v>
          </cell>
        </row>
        <row r="15">
          <cell r="Y15">
            <v>4</v>
          </cell>
        </row>
        <row r="16">
          <cell r="Y16">
            <v>5</v>
          </cell>
        </row>
      </sheetData>
      <sheetData sheetId="20">
        <row r="314">
          <cell r="A314">
            <v>2</v>
          </cell>
        </row>
      </sheetData>
      <sheetData sheetId="21">
        <row r="348">
          <cell r="B348" t="str">
            <v>Construction Fund</v>
          </cell>
        </row>
        <row r="349">
          <cell r="B349" t="str">
            <v>Rate Stabilization</v>
          </cell>
        </row>
        <row r="350">
          <cell r="B350" t="str">
            <v>Debt Service Reserve</v>
          </cell>
        </row>
        <row r="351">
          <cell r="B351" t="str">
            <v>Residual Fund</v>
          </cell>
        </row>
        <row r="352">
          <cell r="B352" t="str">
            <v>Rate Stabilization and Residual (120 Days)</v>
          </cell>
        </row>
        <row r="353">
          <cell r="B353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309">
          <cell r="K309">
            <v>2</v>
          </cell>
        </row>
      </sheetData>
      <sheetData sheetId="45">
        <row r="680">
          <cell r="B680" t="str">
            <v>Scenario 1  - Exclude AMI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6"/>
    <pageSetUpPr fitToPage="1"/>
  </sheetPr>
  <dimension ref="A1:V87"/>
  <sheetViews>
    <sheetView tabSelected="1" zoomScale="80" zoomScaleNormal="80" workbookViewId="0">
      <pane xSplit="3" ySplit="4" topLeftCell="D5" activePane="bottomRight" state="frozen"/>
      <selection pane="topRight" activeCell="E1" sqref="E1"/>
      <selection pane="bottomLeft" activeCell="A30" sqref="A30"/>
      <selection pane="bottomRight" activeCell="O80" sqref="O80"/>
    </sheetView>
  </sheetViews>
  <sheetFormatPr defaultColWidth="9" defaultRowHeight="15" outlineLevelRow="2"/>
  <cols>
    <col min="1" max="1" width="14.75" style="2" customWidth="1"/>
    <col min="2" max="2" width="10.375" style="2" customWidth="1"/>
    <col min="3" max="3" width="21.375" style="2" bestFit="1" customWidth="1"/>
    <col min="4" max="4" width="9" style="2" customWidth="1"/>
    <col min="5" max="11" width="13.125" style="2" customWidth="1"/>
    <col min="12" max="13" width="9" style="2"/>
    <col min="14" max="14" width="11.5" style="2" bestFit="1" customWidth="1"/>
    <col min="15" max="15" width="15.75" style="2" bestFit="1" customWidth="1"/>
    <col min="16" max="20" width="12.625" style="2" customWidth="1"/>
    <col min="21" max="21" width="11.625" style="2" bestFit="1" customWidth="1"/>
    <col min="22" max="22" width="10.125" style="2" bestFit="1" customWidth="1"/>
    <col min="23" max="16384" width="9" style="2"/>
  </cols>
  <sheetData>
    <row r="1" spans="1:22" ht="18.75">
      <c r="A1" s="1"/>
      <c r="D1" s="5"/>
      <c r="E1" s="5"/>
      <c r="F1" s="5"/>
      <c r="G1" s="5"/>
      <c r="H1" s="5"/>
      <c r="I1" s="5"/>
      <c r="J1" s="5"/>
      <c r="K1" s="5"/>
      <c r="L1" s="5"/>
      <c r="M1" s="5"/>
      <c r="N1" s="62" t="s">
        <v>47</v>
      </c>
      <c r="O1" s="62" t="s">
        <v>46</v>
      </c>
      <c r="P1" s="5"/>
      <c r="Q1" s="5"/>
      <c r="R1" s="5"/>
      <c r="S1" s="5"/>
      <c r="T1" s="5"/>
    </row>
    <row r="2" spans="1:22" ht="18.75">
      <c r="D2" s="5"/>
      <c r="E2" s="11" t="s">
        <v>0</v>
      </c>
      <c r="F2" s="11"/>
      <c r="G2" s="11"/>
      <c r="H2" s="11"/>
      <c r="I2" s="11"/>
      <c r="J2" s="12"/>
      <c r="K2" s="12"/>
      <c r="L2" s="5"/>
      <c r="M2" s="5"/>
      <c r="N2" s="11"/>
      <c r="O2" s="11" t="s">
        <v>1</v>
      </c>
      <c r="P2" s="11"/>
      <c r="Q2" s="11"/>
      <c r="R2" s="11"/>
      <c r="S2" s="11"/>
      <c r="T2" s="11"/>
    </row>
    <row r="3" spans="1:22" s="15" customFormat="1" ht="18.75">
      <c r="A3" s="13" t="s">
        <v>2</v>
      </c>
      <c r="B3" s="14"/>
      <c r="C3" s="14"/>
      <c r="D3" s="7"/>
      <c r="E3" s="6">
        <v>2018</v>
      </c>
      <c r="F3" s="6">
        <v>2017</v>
      </c>
      <c r="G3" s="6">
        <v>2016</v>
      </c>
      <c r="H3" s="6">
        <v>2015</v>
      </c>
      <c r="I3" s="6">
        <v>2014</v>
      </c>
      <c r="J3" s="6">
        <v>2013</v>
      </c>
      <c r="K3" s="6">
        <v>2012</v>
      </c>
      <c r="L3" s="7"/>
      <c r="M3" s="7"/>
      <c r="N3" s="6">
        <v>2018</v>
      </c>
      <c r="O3" s="6">
        <v>2017</v>
      </c>
      <c r="P3" s="6">
        <v>2016</v>
      </c>
      <c r="Q3" s="6">
        <v>2015</v>
      </c>
      <c r="R3" s="6">
        <v>2014</v>
      </c>
      <c r="S3" s="6">
        <v>2013</v>
      </c>
      <c r="T3" s="6">
        <v>2012</v>
      </c>
    </row>
    <row r="4" spans="1:22" s="15" customFormat="1" ht="10.5" customHeight="1">
      <c r="A4" s="14"/>
      <c r="B4" s="14"/>
      <c r="C4" s="14"/>
      <c r="D4" s="7"/>
      <c r="E4" s="6"/>
      <c r="F4" s="6"/>
      <c r="G4" s="6"/>
      <c r="H4" s="6"/>
      <c r="I4" s="6"/>
      <c r="J4" s="6"/>
      <c r="K4" s="6"/>
      <c r="L4" s="7"/>
      <c r="M4" s="7"/>
      <c r="N4" s="6"/>
      <c r="O4" s="6"/>
      <c r="P4" s="6"/>
      <c r="Q4" s="6"/>
      <c r="R4" s="6"/>
      <c r="S4" s="6"/>
      <c r="T4" s="6"/>
    </row>
    <row r="5" spans="1:22" s="17" customFormat="1" ht="18.75">
      <c r="A5" s="60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16">
        <v>1</v>
      </c>
    </row>
    <row r="6" spans="1:22" ht="15.75" outlineLevel="1" thickBot="1">
      <c r="A6" s="18" t="s">
        <v>4</v>
      </c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2" outlineLevel="2">
      <c r="A7" s="5"/>
      <c r="B7" s="4">
        <v>100</v>
      </c>
      <c r="C7" s="5" t="s">
        <v>16</v>
      </c>
      <c r="D7" s="5"/>
      <c r="E7" s="20">
        <v>9851135.4299999997</v>
      </c>
      <c r="F7" s="20">
        <v>9851135</v>
      </c>
      <c r="G7" s="20">
        <v>8815500</v>
      </c>
      <c r="H7" s="20">
        <v>8673039</v>
      </c>
      <c r="I7" s="20">
        <v>7860450</v>
      </c>
      <c r="J7" s="20">
        <v>7726550</v>
      </c>
      <c r="K7" s="20">
        <v>7533950</v>
      </c>
      <c r="N7" s="20"/>
      <c r="O7" s="20">
        <v>7948131</v>
      </c>
      <c r="P7" s="20">
        <v>8190963</v>
      </c>
      <c r="Q7" s="20">
        <v>8502816</v>
      </c>
      <c r="R7" s="20">
        <v>7650763</v>
      </c>
      <c r="S7" s="20">
        <v>6911366</v>
      </c>
      <c r="T7" s="20">
        <v>6591224</v>
      </c>
      <c r="V7" s="21"/>
    </row>
    <row r="8" spans="1:22" outlineLevel="2">
      <c r="A8" s="5"/>
      <c r="B8" s="4">
        <v>200</v>
      </c>
      <c r="C8" s="5" t="s">
        <v>17</v>
      </c>
      <c r="D8" s="5"/>
      <c r="E8" s="23">
        <v>6176100</v>
      </c>
      <c r="F8" s="23">
        <v>6291800</v>
      </c>
      <c r="G8" s="23">
        <v>5222100</v>
      </c>
      <c r="H8" s="23">
        <v>5846000</v>
      </c>
      <c r="I8" s="23">
        <v>4130600</v>
      </c>
      <c r="J8" s="23">
        <v>2999990</v>
      </c>
      <c r="K8" s="23">
        <v>3969095</v>
      </c>
      <c r="N8" s="23"/>
      <c r="O8" s="23">
        <v>3710260</v>
      </c>
      <c r="P8" s="23">
        <v>3406310</v>
      </c>
      <c r="Q8" s="23">
        <v>4562319</v>
      </c>
      <c r="R8" s="23">
        <v>3277947</v>
      </c>
      <c r="S8" s="23">
        <v>2019108</v>
      </c>
      <c r="T8" s="23">
        <v>2676000</v>
      </c>
      <c r="V8" s="21"/>
    </row>
    <row r="9" spans="1:22" outlineLevel="2">
      <c r="A9" s="5"/>
      <c r="B9" s="4">
        <v>300</v>
      </c>
      <c r="C9" s="5" t="s">
        <v>19</v>
      </c>
      <c r="D9" s="5"/>
      <c r="E9" s="23">
        <v>1152218</v>
      </c>
      <c r="F9" s="23">
        <v>1226006</v>
      </c>
      <c r="G9" s="23">
        <v>1141850</v>
      </c>
      <c r="H9" s="23">
        <v>1215550</v>
      </c>
      <c r="I9" s="23">
        <v>771700</v>
      </c>
      <c r="J9" s="23">
        <v>799164</v>
      </c>
      <c r="K9" s="23">
        <v>778565</v>
      </c>
      <c r="N9" s="23"/>
      <c r="O9" s="23">
        <v>664311</v>
      </c>
      <c r="P9" s="23">
        <v>660930</v>
      </c>
      <c r="Q9" s="23">
        <v>725233</v>
      </c>
      <c r="R9" s="23">
        <v>632835</v>
      </c>
      <c r="S9" s="23">
        <v>575822</v>
      </c>
      <c r="T9" s="23">
        <v>474539</v>
      </c>
      <c r="V9" s="21"/>
    </row>
    <row r="10" spans="1:22" outlineLevel="2">
      <c r="A10" s="5"/>
      <c r="B10" s="4">
        <v>400</v>
      </c>
      <c r="C10" s="5" t="s">
        <v>20</v>
      </c>
      <c r="D10" s="5"/>
      <c r="E10" s="23">
        <v>656190</v>
      </c>
      <c r="F10" s="23">
        <v>709893</v>
      </c>
      <c r="G10" s="23">
        <v>634600</v>
      </c>
      <c r="H10" s="23">
        <v>420100</v>
      </c>
      <c r="I10" s="23">
        <v>82100</v>
      </c>
      <c r="J10" s="23">
        <v>49000</v>
      </c>
      <c r="K10" s="23">
        <v>142700</v>
      </c>
      <c r="N10" s="23"/>
      <c r="O10" s="23">
        <v>783911</v>
      </c>
      <c r="P10" s="23">
        <v>188501</v>
      </c>
      <c r="Q10" s="23">
        <v>413078</v>
      </c>
      <c r="R10" s="23">
        <v>140816</v>
      </c>
      <c r="S10" s="23">
        <v>46389</v>
      </c>
      <c r="T10" s="23">
        <v>111049</v>
      </c>
      <c r="V10" s="21"/>
    </row>
    <row r="11" spans="1:22" outlineLevel="2">
      <c r="A11" s="5"/>
      <c r="B11" s="4">
        <v>500</v>
      </c>
      <c r="C11" s="5" t="s">
        <v>21</v>
      </c>
      <c r="D11" s="5"/>
      <c r="E11" s="23">
        <v>100000</v>
      </c>
      <c r="F11" s="23">
        <v>100000</v>
      </c>
      <c r="G11" s="23">
        <v>100000</v>
      </c>
      <c r="H11" s="23">
        <v>100000</v>
      </c>
      <c r="I11" s="23">
        <v>100000</v>
      </c>
      <c r="J11" s="23">
        <v>100000</v>
      </c>
      <c r="K11" s="23">
        <v>100000</v>
      </c>
      <c r="N11" s="23"/>
      <c r="O11" s="23" t="s">
        <v>48</v>
      </c>
      <c r="P11" s="23"/>
      <c r="Q11" s="23"/>
      <c r="R11" s="23">
        <v>0</v>
      </c>
      <c r="S11" s="23">
        <v>0</v>
      </c>
      <c r="T11" s="23">
        <v>0</v>
      </c>
      <c r="V11" s="21"/>
    </row>
    <row r="12" spans="1:22" outlineLevel="2">
      <c r="A12" s="5"/>
      <c r="B12" s="4">
        <v>800</v>
      </c>
      <c r="C12" s="5" t="s">
        <v>5</v>
      </c>
      <c r="D12" s="5"/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N12" s="23"/>
      <c r="O12" s="23" t="s">
        <v>48</v>
      </c>
      <c r="P12" s="23"/>
      <c r="Q12" s="23"/>
      <c r="R12" s="23">
        <v>0</v>
      </c>
      <c r="S12" s="23">
        <v>0</v>
      </c>
      <c r="T12" s="23">
        <v>0</v>
      </c>
      <c r="V12" s="21"/>
    </row>
    <row r="13" spans="1:22" ht="6" customHeight="1" outlineLevel="2">
      <c r="A13" s="5"/>
      <c r="B13" s="4"/>
      <c r="C13" s="5"/>
      <c r="D13" s="5"/>
      <c r="E13" s="5"/>
      <c r="F13" s="5"/>
      <c r="G13" s="5"/>
      <c r="H13" s="5"/>
      <c r="I13" s="5"/>
      <c r="J13" s="5"/>
      <c r="K13" s="5"/>
    </row>
    <row r="14" spans="1:22" outlineLevel="2">
      <c r="A14" s="24" t="str">
        <f>"Subtotal "&amp;A6</f>
        <v>Subtotal Human Resources and Administration</v>
      </c>
      <c r="B14" s="4"/>
      <c r="C14" s="5"/>
      <c r="D14" s="5"/>
      <c r="E14" s="25">
        <f t="shared" ref="E14:K14" si="0">SUM(E7:E13)</f>
        <v>17935643</v>
      </c>
      <c r="F14" s="25">
        <f t="shared" si="0"/>
        <v>18178834</v>
      </c>
      <c r="G14" s="25">
        <f t="shared" si="0"/>
        <v>15914050</v>
      </c>
      <c r="H14" s="25">
        <f t="shared" si="0"/>
        <v>16254689</v>
      </c>
      <c r="I14" s="25">
        <f t="shared" si="0"/>
        <v>12944850</v>
      </c>
      <c r="J14" s="25">
        <f t="shared" si="0"/>
        <v>11674704</v>
      </c>
      <c r="K14" s="25">
        <f t="shared" si="0"/>
        <v>12524310</v>
      </c>
      <c r="N14" s="26"/>
      <c r="O14" s="26">
        <f>SUM(O7:O13)</f>
        <v>13106613</v>
      </c>
      <c r="P14" s="26">
        <f>SUM(P7:P13)</f>
        <v>12446704</v>
      </c>
      <c r="Q14" s="26">
        <f t="shared" ref="Q14:T14" si="1">SUM(Q7:Q13)</f>
        <v>14203446</v>
      </c>
      <c r="R14" s="26">
        <f t="shared" si="1"/>
        <v>11702361</v>
      </c>
      <c r="S14" s="26">
        <f t="shared" si="1"/>
        <v>9552685</v>
      </c>
      <c r="T14" s="26">
        <f t="shared" si="1"/>
        <v>9852812</v>
      </c>
    </row>
    <row r="15" spans="1:22" outlineLevel="2">
      <c r="B15" s="3"/>
      <c r="N15" s="27"/>
      <c r="O15" s="27"/>
      <c r="P15" s="27"/>
      <c r="Q15" s="27"/>
      <c r="R15" s="27"/>
    </row>
    <row r="16" spans="1:22" ht="15.75" outlineLevel="1" thickBot="1">
      <c r="A16" s="18" t="s">
        <v>6</v>
      </c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</row>
    <row r="17" spans="1:21" outlineLevel="2">
      <c r="B17" s="4">
        <v>100</v>
      </c>
      <c r="C17" s="5" t="s">
        <v>16</v>
      </c>
      <c r="E17" s="20">
        <v>3051659</v>
      </c>
      <c r="F17" s="20">
        <v>3051659</v>
      </c>
      <c r="G17" s="20">
        <v>2550200</v>
      </c>
      <c r="H17" s="20">
        <v>2472925</v>
      </c>
      <c r="I17" s="20">
        <v>2181400</v>
      </c>
      <c r="J17" s="20">
        <v>2006100</v>
      </c>
      <c r="K17" s="20">
        <v>1602950</v>
      </c>
      <c r="N17" s="20"/>
      <c r="O17" s="20">
        <v>2725589</v>
      </c>
      <c r="P17" s="20">
        <v>2273794</v>
      </c>
      <c r="Q17" s="20">
        <v>2170853</v>
      </c>
      <c r="R17" s="20">
        <v>1849144</v>
      </c>
      <c r="S17" s="20">
        <v>1472571.4500000002</v>
      </c>
      <c r="T17" s="20">
        <v>1388706</v>
      </c>
    </row>
    <row r="18" spans="1:21" outlineLevel="2">
      <c r="B18" s="4">
        <v>200</v>
      </c>
      <c r="C18" s="5" t="s">
        <v>17</v>
      </c>
      <c r="E18" s="23">
        <f>22886650-15000000</f>
        <v>7886650</v>
      </c>
      <c r="F18" s="23">
        <f>21345100-15000000</f>
        <v>6345100</v>
      </c>
      <c r="G18" s="23">
        <f>18747500-11450000</f>
        <v>7297500</v>
      </c>
      <c r="H18" s="23">
        <f>17572500-10250000</f>
        <v>7322500</v>
      </c>
      <c r="I18" s="23">
        <f>12691000-5200000</f>
        <v>7491000</v>
      </c>
      <c r="J18" s="23">
        <f>18943110-5175000</f>
        <v>13768110</v>
      </c>
      <c r="K18" s="23">
        <f>12291405-5050000</f>
        <v>7241405</v>
      </c>
      <c r="N18" s="23"/>
      <c r="O18" s="23">
        <v>8384056</v>
      </c>
      <c r="P18" s="23">
        <f>16961689-15000000</f>
        <v>1961689</v>
      </c>
      <c r="Q18" s="23">
        <f>18409287-(13598134)</f>
        <v>4811153</v>
      </c>
      <c r="R18" s="23">
        <f>9386243-5020143</f>
        <v>4366100</v>
      </c>
      <c r="S18" s="23">
        <f>10503729.73-4925776</f>
        <v>5577953.7300000004</v>
      </c>
      <c r="T18" s="23">
        <f>14231767-5025000</f>
        <v>9206767</v>
      </c>
    </row>
    <row r="19" spans="1:21" outlineLevel="2">
      <c r="B19" s="4" t="s">
        <v>7</v>
      </c>
      <c r="C19" s="5" t="s">
        <v>8</v>
      </c>
      <c r="E19" s="23">
        <f>11450000+3550000</f>
        <v>15000000</v>
      </c>
      <c r="F19" s="23">
        <f>11450000+3550000</f>
        <v>15000000</v>
      </c>
      <c r="G19" s="23">
        <v>11450000</v>
      </c>
      <c r="H19" s="23">
        <v>10250000</v>
      </c>
      <c r="I19" s="23">
        <v>5200000</v>
      </c>
      <c r="J19" s="23">
        <v>5175000</v>
      </c>
      <c r="K19" s="23">
        <v>5050000</v>
      </c>
      <c r="N19" s="23"/>
      <c r="O19" s="23">
        <v>15000000</v>
      </c>
      <c r="P19" s="23">
        <v>15000000</v>
      </c>
      <c r="Q19" s="23">
        <f>13598134-2000000</f>
        <v>11598134</v>
      </c>
      <c r="R19" s="23">
        <v>5020143</v>
      </c>
      <c r="S19" s="23">
        <v>4925776</v>
      </c>
      <c r="T19" s="23">
        <v>5025000</v>
      </c>
    </row>
    <row r="20" spans="1:21" outlineLevel="2">
      <c r="B20" s="4">
        <v>300</v>
      </c>
      <c r="C20" s="5" t="s">
        <v>19</v>
      </c>
      <c r="E20" s="23">
        <v>96305</v>
      </c>
      <c r="F20" s="23">
        <v>86725</v>
      </c>
      <c r="G20" s="23">
        <v>86200</v>
      </c>
      <c r="H20" s="23">
        <v>436200</v>
      </c>
      <c r="I20" s="23">
        <v>816400</v>
      </c>
      <c r="J20" s="23">
        <v>806436</v>
      </c>
      <c r="K20" s="23">
        <v>752735</v>
      </c>
      <c r="N20" s="23"/>
      <c r="O20" s="23">
        <v>60298</v>
      </c>
      <c r="P20" s="23">
        <v>16054</v>
      </c>
      <c r="Q20" s="23">
        <v>23023</v>
      </c>
      <c r="R20" s="23">
        <v>124596</v>
      </c>
      <c r="S20" s="23">
        <v>383298.93999999994</v>
      </c>
      <c r="T20" s="23">
        <v>598960</v>
      </c>
    </row>
    <row r="21" spans="1:21" outlineLevel="2">
      <c r="B21" s="4">
        <v>400</v>
      </c>
      <c r="C21" s="5" t="s">
        <v>20</v>
      </c>
      <c r="E21" s="23">
        <v>16800</v>
      </c>
      <c r="F21" s="23">
        <v>13300</v>
      </c>
      <c r="G21" s="23">
        <v>37800</v>
      </c>
      <c r="H21" s="23">
        <v>10800</v>
      </c>
      <c r="I21" s="23">
        <v>560800</v>
      </c>
      <c r="J21" s="23">
        <v>610800</v>
      </c>
      <c r="K21" s="23">
        <v>599800</v>
      </c>
      <c r="N21" s="23"/>
      <c r="O21" s="23" t="s">
        <v>48</v>
      </c>
      <c r="P21" s="23">
        <v>0</v>
      </c>
      <c r="Q21" s="23">
        <v>0</v>
      </c>
      <c r="R21" s="23">
        <v>521252</v>
      </c>
      <c r="S21" s="23">
        <v>244778.48</v>
      </c>
      <c r="T21" s="23">
        <v>527642</v>
      </c>
    </row>
    <row r="22" spans="1:21" outlineLevel="2">
      <c r="B22" s="4">
        <v>500</v>
      </c>
      <c r="C22" s="5" t="s">
        <v>21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N22" s="23"/>
      <c r="O22" s="23" t="s">
        <v>48</v>
      </c>
      <c r="P22" s="23"/>
      <c r="Q22" s="23"/>
      <c r="R22" s="23"/>
      <c r="S22" s="23"/>
      <c r="T22" s="23"/>
    </row>
    <row r="23" spans="1:21" outlineLevel="2">
      <c r="B23" s="4">
        <v>800</v>
      </c>
      <c r="C23" s="5" t="s">
        <v>5</v>
      </c>
      <c r="E23" s="23">
        <v>11000000</v>
      </c>
      <c r="F23" s="23">
        <f>10000000-1000000</f>
        <v>9000000</v>
      </c>
      <c r="G23" s="23">
        <v>10537000</v>
      </c>
      <c r="H23" s="23">
        <v>14000000</v>
      </c>
      <c r="I23" s="23">
        <v>13243100</v>
      </c>
      <c r="J23" s="23">
        <v>12605000</v>
      </c>
      <c r="K23" s="23">
        <v>10948900</v>
      </c>
      <c r="N23" s="23"/>
      <c r="O23" s="23">
        <v>12097064</v>
      </c>
      <c r="P23" s="23">
        <v>8100186</v>
      </c>
      <c r="Q23" s="23">
        <v>6244621</v>
      </c>
      <c r="R23" s="23">
        <v>7714419</v>
      </c>
      <c r="S23" s="23">
        <v>10792914</v>
      </c>
      <c r="T23" s="23">
        <v>9074729</v>
      </c>
    </row>
    <row r="24" spans="1:21" ht="6" customHeight="1" outlineLevel="2">
      <c r="A24" s="5"/>
      <c r="B24" s="4"/>
      <c r="C24" s="5"/>
      <c r="D24" s="5"/>
      <c r="E24" s="5"/>
      <c r="F24" s="5"/>
      <c r="G24" s="5"/>
      <c r="H24" s="5"/>
      <c r="I24" s="5"/>
      <c r="J24" s="5"/>
      <c r="K24" s="5"/>
    </row>
    <row r="25" spans="1:21" outlineLevel="2">
      <c r="A25" s="28" t="str">
        <f>"Subtotal "&amp;A16</f>
        <v>Subtotal Finance</v>
      </c>
      <c r="B25" s="3"/>
      <c r="E25" s="25">
        <f t="shared" ref="E25:K25" si="2">SUM(E17:E24)</f>
        <v>37051414</v>
      </c>
      <c r="F25" s="25">
        <f t="shared" si="2"/>
        <v>33496784</v>
      </c>
      <c r="G25" s="25">
        <f t="shared" si="2"/>
        <v>31958700</v>
      </c>
      <c r="H25" s="25">
        <f t="shared" si="2"/>
        <v>34492425</v>
      </c>
      <c r="I25" s="25">
        <f t="shared" si="2"/>
        <v>29492700</v>
      </c>
      <c r="J25" s="25">
        <f t="shared" si="2"/>
        <v>34971446</v>
      </c>
      <c r="K25" s="25">
        <f t="shared" si="2"/>
        <v>26195790</v>
      </c>
      <c r="N25" s="26"/>
      <c r="O25" s="26">
        <f>SUM(O17:O24)</f>
        <v>38267007</v>
      </c>
      <c r="P25" s="26">
        <f>SUM(P17:P24)</f>
        <v>27351723</v>
      </c>
      <c r="Q25" s="26">
        <f t="shared" ref="Q25:T25" si="3">SUM(Q17:Q24)</f>
        <v>24847784</v>
      </c>
      <c r="R25" s="26">
        <f t="shared" si="3"/>
        <v>19595654</v>
      </c>
      <c r="S25" s="26">
        <f t="shared" si="3"/>
        <v>23397292.600000001</v>
      </c>
      <c r="T25" s="26">
        <f t="shared" si="3"/>
        <v>25821804</v>
      </c>
    </row>
    <row r="26" spans="1:21" outlineLevel="2">
      <c r="B26" s="3"/>
      <c r="E26" s="29"/>
      <c r="F26" s="29"/>
      <c r="G26" s="29"/>
      <c r="H26" s="29"/>
      <c r="I26" s="29"/>
      <c r="J26" s="29"/>
      <c r="K26" s="29"/>
      <c r="N26" s="29"/>
      <c r="O26" s="29"/>
      <c r="P26" s="29"/>
      <c r="Q26" s="29"/>
      <c r="R26" s="29"/>
      <c r="S26" s="29"/>
      <c r="T26" s="29"/>
      <c r="U26" s="29"/>
    </row>
    <row r="27" spans="1:21" ht="15.75" outlineLevel="1" thickBot="1">
      <c r="A27" s="18" t="s">
        <v>9</v>
      </c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1:21" outlineLevel="2">
      <c r="B28" s="4">
        <v>100</v>
      </c>
      <c r="C28" s="5" t="s">
        <v>16</v>
      </c>
      <c r="E28" s="20">
        <v>1848821.23</v>
      </c>
      <c r="F28" s="20">
        <v>1472207</v>
      </c>
      <c r="G28" s="20">
        <v>1225000</v>
      </c>
      <c r="H28" s="20">
        <v>1231738</v>
      </c>
      <c r="I28" s="20">
        <v>1268860</v>
      </c>
      <c r="J28" s="20">
        <v>1215300</v>
      </c>
      <c r="K28" s="20">
        <v>1198100</v>
      </c>
      <c r="N28" s="20"/>
      <c r="O28" s="20">
        <v>1187885</v>
      </c>
      <c r="P28" s="20">
        <v>1075392</v>
      </c>
      <c r="Q28" s="20">
        <v>1199514</v>
      </c>
      <c r="R28" s="20">
        <v>1043846</v>
      </c>
      <c r="S28" s="20">
        <v>1057108</v>
      </c>
      <c r="T28" s="20">
        <v>1028722</v>
      </c>
    </row>
    <row r="29" spans="1:21" outlineLevel="2">
      <c r="B29" s="4">
        <v>200</v>
      </c>
      <c r="C29" s="5" t="s">
        <v>17</v>
      </c>
      <c r="E29" s="23">
        <v>1027500</v>
      </c>
      <c r="F29" s="23">
        <v>1002500</v>
      </c>
      <c r="G29" s="23">
        <v>497500</v>
      </c>
      <c r="H29" s="23">
        <v>492900</v>
      </c>
      <c r="I29" s="23">
        <v>498500</v>
      </c>
      <c r="J29" s="23">
        <v>732500</v>
      </c>
      <c r="K29" s="23">
        <v>488000</v>
      </c>
      <c r="N29" s="23"/>
      <c r="O29" s="23">
        <v>346543</v>
      </c>
      <c r="P29" s="23">
        <v>237504</v>
      </c>
      <c r="Q29" s="23">
        <v>297188</v>
      </c>
      <c r="R29" s="23">
        <v>155719</v>
      </c>
      <c r="S29" s="23">
        <v>235838</v>
      </c>
      <c r="T29" s="23">
        <v>259551</v>
      </c>
    </row>
    <row r="30" spans="1:21" outlineLevel="2">
      <c r="B30" s="4">
        <v>300</v>
      </c>
      <c r="C30" s="5" t="s">
        <v>19</v>
      </c>
      <c r="E30" s="23">
        <v>193420</v>
      </c>
      <c r="F30" s="23">
        <v>188440</v>
      </c>
      <c r="G30" s="23">
        <v>187500</v>
      </c>
      <c r="H30" s="23">
        <v>198000</v>
      </c>
      <c r="I30" s="23">
        <v>177300</v>
      </c>
      <c r="J30" s="23">
        <v>148100</v>
      </c>
      <c r="K30" s="23">
        <v>146000</v>
      </c>
      <c r="N30" s="23"/>
      <c r="O30" s="23">
        <v>46356</v>
      </c>
      <c r="P30" s="23">
        <v>54541</v>
      </c>
      <c r="Q30" s="23">
        <v>102067</v>
      </c>
      <c r="R30" s="23">
        <v>105252</v>
      </c>
      <c r="S30" s="23">
        <v>191888</v>
      </c>
      <c r="T30" s="23">
        <v>133233</v>
      </c>
    </row>
    <row r="31" spans="1:21" outlineLevel="2">
      <c r="B31" s="4">
        <v>400</v>
      </c>
      <c r="C31" s="5" t="s">
        <v>20</v>
      </c>
      <c r="E31" s="23">
        <v>61350</v>
      </c>
      <c r="F31" s="23">
        <v>60650</v>
      </c>
      <c r="G31" s="23">
        <v>59000</v>
      </c>
      <c r="H31" s="23">
        <v>59000</v>
      </c>
      <c r="I31" s="23">
        <v>220000</v>
      </c>
      <c r="J31" s="23">
        <v>111500</v>
      </c>
      <c r="K31" s="23">
        <v>79000</v>
      </c>
      <c r="N31" s="23"/>
      <c r="O31" s="23">
        <v>21649</v>
      </c>
      <c r="P31" s="23">
        <v>3873</v>
      </c>
      <c r="Q31" s="23">
        <v>14614</v>
      </c>
      <c r="R31" s="23">
        <v>27449</v>
      </c>
      <c r="S31" s="23">
        <v>30333</v>
      </c>
      <c r="T31" s="23">
        <v>28435</v>
      </c>
    </row>
    <row r="32" spans="1:21" outlineLevel="2">
      <c r="B32" s="4">
        <v>500</v>
      </c>
      <c r="C32" s="5" t="s">
        <v>21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N32" s="23"/>
      <c r="O32" s="23" t="s">
        <v>48</v>
      </c>
      <c r="P32" s="23"/>
      <c r="Q32" s="23"/>
      <c r="R32" s="23"/>
      <c r="S32" s="23">
        <v>0</v>
      </c>
      <c r="T32" s="23">
        <v>0</v>
      </c>
    </row>
    <row r="33" spans="1:20" outlineLevel="2">
      <c r="B33" s="4">
        <v>800</v>
      </c>
      <c r="C33" s="5" t="s">
        <v>5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N33" s="23"/>
      <c r="O33" s="23" t="s">
        <v>48</v>
      </c>
      <c r="P33" s="23"/>
      <c r="Q33" s="23"/>
      <c r="R33" s="23"/>
      <c r="S33" s="23">
        <v>0</v>
      </c>
      <c r="T33" s="23">
        <v>0</v>
      </c>
    </row>
    <row r="34" spans="1:20" ht="6" customHeight="1" outlineLevel="2">
      <c r="A34" s="5"/>
      <c r="B34" s="4"/>
      <c r="C34" s="5"/>
      <c r="D34" s="5"/>
      <c r="E34" s="5"/>
      <c r="F34" s="5"/>
      <c r="G34" s="5"/>
      <c r="H34" s="5"/>
      <c r="I34" s="5"/>
      <c r="J34" s="5"/>
      <c r="K34" s="5"/>
    </row>
    <row r="35" spans="1:20" outlineLevel="2">
      <c r="A35" s="28" t="str">
        <f>"Subtotal "&amp;A27</f>
        <v>Subtotal Planning and Engineering</v>
      </c>
      <c r="B35" s="3"/>
      <c r="E35" s="25">
        <f t="shared" ref="E35:K35" si="4">SUM(E28:E34)</f>
        <v>3131091</v>
      </c>
      <c r="F35" s="25">
        <f t="shared" si="4"/>
        <v>2723797</v>
      </c>
      <c r="G35" s="25">
        <f t="shared" si="4"/>
        <v>1969000</v>
      </c>
      <c r="H35" s="25">
        <f t="shared" si="4"/>
        <v>1981638</v>
      </c>
      <c r="I35" s="25">
        <f t="shared" si="4"/>
        <v>2164660</v>
      </c>
      <c r="J35" s="25">
        <f t="shared" si="4"/>
        <v>2207400</v>
      </c>
      <c r="K35" s="25">
        <f t="shared" si="4"/>
        <v>1911100</v>
      </c>
      <c r="N35" s="26"/>
      <c r="O35" s="26">
        <f>SUM(O28:O34)</f>
        <v>1602433</v>
      </c>
      <c r="P35" s="26">
        <f>SUM(P28:P34)</f>
        <v>1371310</v>
      </c>
      <c r="Q35" s="26">
        <f t="shared" ref="Q35:T35" si="5">SUM(Q28:Q34)</f>
        <v>1613383</v>
      </c>
      <c r="R35" s="26">
        <f t="shared" si="5"/>
        <v>1332266</v>
      </c>
      <c r="S35" s="26">
        <f t="shared" si="5"/>
        <v>1515167</v>
      </c>
      <c r="T35" s="26">
        <f t="shared" si="5"/>
        <v>1449941</v>
      </c>
    </row>
    <row r="36" spans="1:20" outlineLevel="2">
      <c r="B36" s="3"/>
      <c r="S36" s="27"/>
    </row>
    <row r="37" spans="1:20" ht="15.75" outlineLevel="1" thickBot="1">
      <c r="A37" s="18" t="s">
        <v>10</v>
      </c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1:20" outlineLevel="2">
      <c r="A38" s="5"/>
      <c r="B38" s="4">
        <v>100</v>
      </c>
      <c r="C38" s="5" t="s">
        <v>16</v>
      </c>
      <c r="E38" s="20">
        <v>81757426</v>
      </c>
      <c r="F38" s="20">
        <v>78910054</v>
      </c>
      <c r="G38" s="20">
        <v>74515100</v>
      </c>
      <c r="H38" s="20">
        <v>71357193</v>
      </c>
      <c r="I38" s="20">
        <f>69343900+3037446*0</f>
        <v>69343900</v>
      </c>
      <c r="J38" s="20">
        <v>70297400</v>
      </c>
      <c r="K38" s="20">
        <v>69949000</v>
      </c>
      <c r="N38" s="20"/>
      <c r="O38" s="20">
        <v>74937545</v>
      </c>
      <c r="P38" s="20">
        <v>71318230</v>
      </c>
      <c r="Q38" s="20">
        <v>71789745</v>
      </c>
      <c r="R38" s="20">
        <v>65710338</v>
      </c>
      <c r="S38" s="20">
        <v>63390240</v>
      </c>
      <c r="T38" s="20">
        <v>62092417</v>
      </c>
    </row>
    <row r="39" spans="1:20" outlineLevel="2">
      <c r="A39" s="5"/>
      <c r="B39" s="4">
        <v>200</v>
      </c>
      <c r="C39" s="5" t="s">
        <v>17</v>
      </c>
      <c r="E39" s="23">
        <f>100275685-24313500-5593650</f>
        <v>70368535</v>
      </c>
      <c r="F39" s="23">
        <f>97866100-27265000-5538900</f>
        <v>65062200</v>
      </c>
      <c r="G39" s="23">
        <f>92910700-27845000-5692000</f>
        <v>59373700</v>
      </c>
      <c r="H39" s="23">
        <f>63381100-4000000</f>
        <v>59381100</v>
      </c>
      <c r="I39" s="23">
        <f>64948600-4600000</f>
        <v>60348600</v>
      </c>
      <c r="J39" s="23">
        <f>57556100-4000000</f>
        <v>53556100</v>
      </c>
      <c r="K39" s="23">
        <f>53255000-3780000</f>
        <v>49475000</v>
      </c>
      <c r="N39" s="23"/>
      <c r="O39" s="23">
        <v>65263449</v>
      </c>
      <c r="P39" s="23">
        <v>54441610.450000003</v>
      </c>
      <c r="Q39" s="23">
        <v>51086665</v>
      </c>
      <c r="R39" s="23">
        <v>51604806</v>
      </c>
      <c r="S39" s="23">
        <v>50321374</v>
      </c>
      <c r="T39" s="23">
        <v>46354228</v>
      </c>
    </row>
    <row r="40" spans="1:20" outlineLevel="2">
      <c r="A40" s="5"/>
      <c r="B40" s="4">
        <v>220</v>
      </c>
      <c r="C40" s="5" t="s">
        <v>18</v>
      </c>
      <c r="D40" s="30"/>
      <c r="E40" s="23">
        <v>24313500</v>
      </c>
      <c r="F40" s="23">
        <f>27265000-4000000</f>
        <v>23265000</v>
      </c>
      <c r="G40" s="23">
        <v>27845000</v>
      </c>
      <c r="H40" s="23">
        <f>27714000-2000000</f>
        <v>25714000</v>
      </c>
      <c r="I40" s="23">
        <v>26994900</v>
      </c>
      <c r="J40" s="23">
        <v>29362900</v>
      </c>
      <c r="K40" s="23">
        <v>27128000</v>
      </c>
      <c r="N40" s="23"/>
      <c r="O40" s="23">
        <v>18223847</v>
      </c>
      <c r="P40" s="23">
        <v>20071555.550000001</v>
      </c>
      <c r="Q40" s="23">
        <v>20427534</v>
      </c>
      <c r="R40" s="23">
        <v>21440579</v>
      </c>
      <c r="S40" s="23">
        <v>24375673.91</v>
      </c>
      <c r="T40" s="23">
        <v>24841360</v>
      </c>
    </row>
    <row r="41" spans="1:20" outlineLevel="2">
      <c r="A41" s="5"/>
      <c r="B41" s="4">
        <v>221</v>
      </c>
      <c r="C41" s="5" t="s">
        <v>11</v>
      </c>
      <c r="D41" s="30"/>
      <c r="E41" s="23">
        <v>5593650</v>
      </c>
      <c r="F41" s="23">
        <v>5538900</v>
      </c>
      <c r="G41" s="23">
        <v>5692000</v>
      </c>
      <c r="H41" s="23">
        <v>4000000</v>
      </c>
      <c r="I41" s="23">
        <v>4600000</v>
      </c>
      <c r="J41" s="23">
        <v>4000000</v>
      </c>
      <c r="K41" s="23">
        <v>3780000</v>
      </c>
      <c r="N41" s="23"/>
      <c r="O41" s="23">
        <v>3176528</v>
      </c>
      <c r="P41" s="23">
        <v>4013404</v>
      </c>
      <c r="Q41" s="23">
        <v>4190988</v>
      </c>
      <c r="R41" s="23">
        <v>3561029</v>
      </c>
      <c r="S41" s="23">
        <v>3458000</v>
      </c>
      <c r="T41" s="23">
        <v>3545811</v>
      </c>
    </row>
    <row r="42" spans="1:20" outlineLevel="2">
      <c r="A42" s="5"/>
      <c r="B42" s="4">
        <v>300</v>
      </c>
      <c r="C42" s="5" t="s">
        <v>19</v>
      </c>
      <c r="D42" s="30"/>
      <c r="E42" s="23">
        <f>41974698-21872905</f>
        <v>20101793</v>
      </c>
      <c r="F42" s="23">
        <f>41287657-21880928</f>
        <v>19406729</v>
      </c>
      <c r="G42" s="23">
        <f>40861900-22575800</f>
        <v>18286100</v>
      </c>
      <c r="H42" s="23">
        <v>17855400</v>
      </c>
      <c r="I42" s="23">
        <v>17240200</v>
      </c>
      <c r="J42" s="23">
        <v>17255800</v>
      </c>
      <c r="K42" s="23">
        <v>16332000</v>
      </c>
      <c r="N42" s="23"/>
      <c r="O42" s="23">
        <v>17507515</v>
      </c>
      <c r="P42" s="23">
        <v>15057143</v>
      </c>
      <c r="Q42" s="23">
        <v>14703881</v>
      </c>
      <c r="R42" s="23">
        <v>14625464</v>
      </c>
      <c r="S42" s="23">
        <v>16475057</v>
      </c>
      <c r="T42" s="23">
        <v>15651859</v>
      </c>
    </row>
    <row r="43" spans="1:20" outlineLevel="2">
      <c r="A43" s="5"/>
      <c r="B43" s="4">
        <v>307</v>
      </c>
      <c r="C43" s="5" t="s">
        <v>12</v>
      </c>
      <c r="D43" s="30"/>
      <c r="E43" s="23">
        <v>21872905</v>
      </c>
      <c r="F43" s="23">
        <v>21880928</v>
      </c>
      <c r="G43" s="23">
        <v>22575800</v>
      </c>
      <c r="H43" s="23">
        <v>23668950</v>
      </c>
      <c r="I43" s="23">
        <v>23435500</v>
      </c>
      <c r="J43" s="23">
        <v>23537400</v>
      </c>
      <c r="K43" s="23">
        <v>22502000</v>
      </c>
      <c r="N43" s="23"/>
      <c r="O43" s="23">
        <v>18596601</v>
      </c>
      <c r="P43" s="23">
        <v>21075520</v>
      </c>
      <c r="Q43" s="23">
        <v>22324969</v>
      </c>
      <c r="R43" s="23">
        <v>24446114</v>
      </c>
      <c r="S43" s="23">
        <v>22602203</v>
      </c>
      <c r="T43" s="23">
        <v>20239205</v>
      </c>
    </row>
    <row r="44" spans="1:20" outlineLevel="2">
      <c r="A44" s="9"/>
      <c r="B44" s="4">
        <v>400</v>
      </c>
      <c r="C44" s="5" t="s">
        <v>20</v>
      </c>
      <c r="E44" s="23">
        <v>1981897</v>
      </c>
      <c r="F44" s="23">
        <v>2047100</v>
      </c>
      <c r="G44" s="23">
        <v>1798000</v>
      </c>
      <c r="H44" s="23">
        <v>1577800</v>
      </c>
      <c r="I44" s="23">
        <v>1980700</v>
      </c>
      <c r="J44" s="23">
        <v>1527800</v>
      </c>
      <c r="K44" s="23">
        <v>2033000</v>
      </c>
      <c r="N44" s="23"/>
      <c r="O44" s="23">
        <v>964973</v>
      </c>
      <c r="P44" s="23">
        <v>1486260</v>
      </c>
      <c r="Q44" s="23">
        <v>1219613</v>
      </c>
      <c r="R44" s="23">
        <v>1172215</v>
      </c>
      <c r="S44" s="23">
        <v>994870</v>
      </c>
      <c r="T44" s="23">
        <v>1356406</v>
      </c>
    </row>
    <row r="45" spans="1:20" outlineLevel="2">
      <c r="A45" s="5"/>
      <c r="B45" s="4">
        <v>500</v>
      </c>
      <c r="C45" s="5" t="s">
        <v>21</v>
      </c>
      <c r="E45" s="23">
        <v>0</v>
      </c>
      <c r="F45" s="23">
        <v>1000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N45" s="23"/>
      <c r="O45" s="23" t="s">
        <v>48</v>
      </c>
      <c r="P45" s="23"/>
      <c r="Q45" s="23"/>
      <c r="R45" s="23"/>
      <c r="S45" s="23">
        <v>0</v>
      </c>
      <c r="T45" s="23">
        <v>0</v>
      </c>
    </row>
    <row r="46" spans="1:20" outlineLevel="2">
      <c r="A46" s="5"/>
      <c r="B46" s="4">
        <v>800</v>
      </c>
      <c r="C46" s="5" t="s">
        <v>5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N46" s="23"/>
      <c r="O46" s="23" t="s">
        <v>48</v>
      </c>
      <c r="P46" s="23"/>
      <c r="Q46" s="23"/>
      <c r="R46" s="23"/>
      <c r="S46" s="23">
        <v>0</v>
      </c>
      <c r="T46" s="23">
        <v>0</v>
      </c>
    </row>
    <row r="47" spans="1:20" ht="6" customHeight="1" outlineLevel="2">
      <c r="A47" s="5"/>
      <c r="B47" s="4"/>
      <c r="C47" s="5"/>
      <c r="D47" s="5"/>
      <c r="E47" s="5"/>
      <c r="F47" s="5"/>
      <c r="G47" s="5"/>
      <c r="H47" s="5"/>
      <c r="I47" s="5"/>
      <c r="J47" s="5"/>
      <c r="K47" s="5"/>
    </row>
    <row r="48" spans="1:20" outlineLevel="2">
      <c r="A48" s="24" t="str">
        <f>"Subtotal "&amp;A37</f>
        <v>Subtotal Operations</v>
      </c>
      <c r="B48" s="4"/>
      <c r="C48" s="5"/>
      <c r="E48" s="25">
        <f>SUM(E38:E47)</f>
        <v>225989706</v>
      </c>
      <c r="F48" s="25">
        <f>SUM(F38:F47)</f>
        <v>216111911</v>
      </c>
      <c r="G48" s="25">
        <f t="shared" ref="G48:K48" si="6">SUM(G38:G47)</f>
        <v>210085700</v>
      </c>
      <c r="H48" s="25">
        <f t="shared" si="6"/>
        <v>203554443</v>
      </c>
      <c r="I48" s="25">
        <f t="shared" si="6"/>
        <v>203943800</v>
      </c>
      <c r="J48" s="25">
        <f t="shared" si="6"/>
        <v>199537400</v>
      </c>
      <c r="K48" s="25">
        <f t="shared" si="6"/>
        <v>191199000</v>
      </c>
      <c r="N48" s="26"/>
      <c r="O48" s="26">
        <f>SUM(O38:O47)</f>
        <v>198670458</v>
      </c>
      <c r="P48" s="26">
        <f>SUM(P38:P47)</f>
        <v>187463723</v>
      </c>
      <c r="Q48" s="26">
        <f>SUM(Q38:Q47)</f>
        <v>185743395</v>
      </c>
      <c r="R48" s="26">
        <f t="shared" ref="R48:T48" si="7">SUM(R38:R47)</f>
        <v>182560545</v>
      </c>
      <c r="S48" s="26">
        <f t="shared" si="7"/>
        <v>181617417.91</v>
      </c>
      <c r="T48" s="26">
        <f t="shared" si="7"/>
        <v>174081286</v>
      </c>
    </row>
    <row r="49" spans="1:20" outlineLevel="2">
      <c r="B49" s="3"/>
    </row>
    <row r="50" spans="1:20" ht="15.75" outlineLevel="1" thickBot="1">
      <c r="A50" s="18" t="s">
        <v>13</v>
      </c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spans="1:20" outlineLevel="2">
      <c r="A51" s="5"/>
      <c r="B51" s="4">
        <v>100</v>
      </c>
      <c r="C51" s="5" t="s">
        <v>16</v>
      </c>
      <c r="D51" s="5"/>
      <c r="E51" s="20">
        <v>14714696</v>
      </c>
      <c r="F51" s="20">
        <v>14219367</v>
      </c>
      <c r="G51" s="20">
        <v>13024700</v>
      </c>
      <c r="H51" s="20">
        <v>12569537</v>
      </c>
      <c r="I51" s="20">
        <v>10944400</v>
      </c>
      <c r="J51" s="20">
        <v>10316699.65</v>
      </c>
      <c r="K51" s="20">
        <v>9353800</v>
      </c>
      <c r="N51" s="20"/>
      <c r="O51" s="20">
        <v>13465491</v>
      </c>
      <c r="P51" s="20">
        <v>12946501</v>
      </c>
      <c r="Q51" s="20">
        <v>12135854</v>
      </c>
      <c r="R51" s="20">
        <v>11080774</v>
      </c>
      <c r="S51" s="20">
        <v>10315992</v>
      </c>
      <c r="T51" s="20">
        <v>9163710</v>
      </c>
    </row>
    <row r="52" spans="1:20" outlineLevel="2">
      <c r="A52" s="5"/>
      <c r="B52" s="4">
        <v>200</v>
      </c>
      <c r="C52" s="5" t="s">
        <v>17</v>
      </c>
      <c r="D52" s="5"/>
      <c r="E52" s="23">
        <v>18757200</v>
      </c>
      <c r="F52" s="23">
        <v>25361592</v>
      </c>
      <c r="G52" s="23">
        <v>25254200</v>
      </c>
      <c r="H52" s="23">
        <v>22374200</v>
      </c>
      <c r="I52" s="23">
        <v>19299800</v>
      </c>
      <c r="J52" s="23">
        <v>19579700</v>
      </c>
      <c r="K52" s="23">
        <v>18102800</v>
      </c>
      <c r="N52" s="23"/>
      <c r="O52" s="23">
        <v>23055720</v>
      </c>
      <c r="P52" s="23">
        <v>22364997</v>
      </c>
      <c r="Q52" s="23">
        <v>22388075</v>
      </c>
      <c r="R52" s="23">
        <v>17411374</v>
      </c>
      <c r="S52" s="23">
        <v>18442416.8244</v>
      </c>
      <c r="T52" s="23">
        <v>16447254.0502</v>
      </c>
    </row>
    <row r="53" spans="1:20" outlineLevel="2">
      <c r="A53" s="5"/>
      <c r="B53" s="4">
        <v>300</v>
      </c>
      <c r="C53" s="5" t="s">
        <v>19</v>
      </c>
      <c r="D53" s="5"/>
      <c r="E53" s="23">
        <v>1428850</v>
      </c>
      <c r="F53" s="23">
        <v>1517285</v>
      </c>
      <c r="G53" s="23">
        <v>1408100</v>
      </c>
      <c r="H53" s="23">
        <v>1349600</v>
      </c>
      <c r="I53" s="23">
        <v>1179600</v>
      </c>
      <c r="J53" s="23">
        <v>1362100</v>
      </c>
      <c r="K53" s="23">
        <v>1298500</v>
      </c>
      <c r="N53" s="23"/>
      <c r="O53" s="23">
        <v>1448059</v>
      </c>
      <c r="P53" s="23">
        <v>1101182</v>
      </c>
      <c r="Q53" s="23">
        <v>989788</v>
      </c>
      <c r="R53" s="23">
        <v>1015983</v>
      </c>
      <c r="S53" s="23">
        <v>867520</v>
      </c>
      <c r="T53" s="23">
        <v>962010</v>
      </c>
    </row>
    <row r="54" spans="1:20" outlineLevel="2">
      <c r="A54" s="5"/>
      <c r="B54" s="4">
        <v>400</v>
      </c>
      <c r="C54" s="5" t="s">
        <v>20</v>
      </c>
      <c r="D54" s="5"/>
      <c r="E54" s="23">
        <v>818441</v>
      </c>
      <c r="F54" s="23">
        <v>901513</v>
      </c>
      <c r="G54" s="23">
        <v>853450</v>
      </c>
      <c r="H54" s="23">
        <v>583650</v>
      </c>
      <c r="I54" s="23">
        <v>886400</v>
      </c>
      <c r="J54" s="23">
        <v>930500</v>
      </c>
      <c r="K54" s="23">
        <v>783400</v>
      </c>
      <c r="N54" s="23"/>
      <c r="O54" s="23">
        <v>348946</v>
      </c>
      <c r="P54" s="23">
        <v>285682</v>
      </c>
      <c r="Q54" s="23">
        <v>187954</v>
      </c>
      <c r="R54" s="23">
        <v>556793</v>
      </c>
      <c r="S54" s="23">
        <v>470735</v>
      </c>
      <c r="T54" s="23">
        <v>55839</v>
      </c>
    </row>
    <row r="55" spans="1:20" outlineLevel="2">
      <c r="A55" s="5"/>
      <c r="B55" s="4">
        <v>500</v>
      </c>
      <c r="C55" s="5" t="s">
        <v>21</v>
      </c>
      <c r="D55" s="5"/>
      <c r="E55" s="23"/>
      <c r="F55" s="23"/>
      <c r="G55" s="23"/>
      <c r="H55" s="23"/>
      <c r="I55" s="23"/>
      <c r="J55" s="23"/>
      <c r="K55" s="23"/>
      <c r="N55" s="23"/>
      <c r="O55" s="23"/>
      <c r="P55" s="23"/>
      <c r="Q55" s="23"/>
      <c r="R55" s="23"/>
      <c r="S55" s="23"/>
      <c r="T55" s="23"/>
    </row>
    <row r="56" spans="1:20" outlineLevel="2">
      <c r="A56" s="5"/>
      <c r="B56" s="4">
        <v>800</v>
      </c>
      <c r="C56" s="5" t="s">
        <v>5</v>
      </c>
      <c r="D56" s="5"/>
      <c r="E56" s="23"/>
      <c r="F56" s="23"/>
      <c r="G56" s="23"/>
      <c r="H56" s="23"/>
      <c r="I56" s="23"/>
      <c r="J56" s="23"/>
      <c r="K56" s="23"/>
      <c r="N56" s="23"/>
      <c r="O56" s="23"/>
      <c r="P56" s="23"/>
      <c r="Q56" s="23"/>
      <c r="R56" s="23"/>
      <c r="S56" s="23"/>
      <c r="T56" s="23"/>
    </row>
    <row r="57" spans="1:20" ht="6" customHeight="1" outlineLevel="2">
      <c r="A57" s="5"/>
      <c r="B57" s="4"/>
      <c r="C57" s="5"/>
      <c r="D57" s="5"/>
      <c r="E57" s="5"/>
      <c r="F57" s="5"/>
      <c r="G57" s="5"/>
      <c r="H57" s="5"/>
      <c r="I57" s="5"/>
      <c r="J57" s="5"/>
      <c r="K57" s="5"/>
    </row>
    <row r="58" spans="1:20" outlineLevel="2">
      <c r="A58" s="24" t="str">
        <f>"Subtotal "&amp;A50</f>
        <v>Subtotal Planning &amp; Environmental Services</v>
      </c>
      <c r="B58" s="5"/>
      <c r="C58" s="5"/>
      <c r="D58" s="5"/>
      <c r="E58" s="25">
        <f t="shared" ref="E58:K58" si="8">SUM(E51:E57)</f>
        <v>35719187</v>
      </c>
      <c r="F58" s="25">
        <f t="shared" si="8"/>
        <v>41999757</v>
      </c>
      <c r="G58" s="25">
        <f t="shared" si="8"/>
        <v>40540450</v>
      </c>
      <c r="H58" s="25">
        <f t="shared" si="8"/>
        <v>36876987</v>
      </c>
      <c r="I58" s="25">
        <f t="shared" si="8"/>
        <v>32310200</v>
      </c>
      <c r="J58" s="25">
        <f t="shared" si="8"/>
        <v>32189000</v>
      </c>
      <c r="K58" s="25">
        <f t="shared" si="8"/>
        <v>29538500</v>
      </c>
      <c r="L58" s="5"/>
      <c r="M58" s="5"/>
      <c r="N58" s="25"/>
      <c r="O58" s="25">
        <f>SUM(O51:O57)</f>
        <v>38318216</v>
      </c>
      <c r="P58" s="25">
        <f>SUM(P51:P57)</f>
        <v>36698362</v>
      </c>
      <c r="Q58" s="25">
        <f t="shared" ref="Q58:T58" si="9">SUM(Q51:Q57)</f>
        <v>35701671</v>
      </c>
      <c r="R58" s="25">
        <f t="shared" si="9"/>
        <v>30064924</v>
      </c>
      <c r="S58" s="25">
        <f t="shared" si="9"/>
        <v>30096663.8244</v>
      </c>
      <c r="T58" s="25">
        <f t="shared" si="9"/>
        <v>26628813.0502</v>
      </c>
    </row>
    <row r="59" spans="1:20" outlineLevel="2">
      <c r="I59" s="27"/>
      <c r="K59" s="27"/>
    </row>
    <row r="60" spans="1:20" ht="15.75" outlineLevel="1" thickBot="1">
      <c r="A60" s="18" t="s">
        <v>14</v>
      </c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</row>
    <row r="61" spans="1:20" outlineLevel="2">
      <c r="A61" s="5"/>
      <c r="B61" s="4">
        <v>100</v>
      </c>
      <c r="C61" s="5" t="s">
        <v>16</v>
      </c>
      <c r="D61" s="5"/>
      <c r="E61" s="20">
        <v>5246556</v>
      </c>
      <c r="F61" s="20">
        <v>2860744</v>
      </c>
      <c r="G61" s="20">
        <v>2831100</v>
      </c>
      <c r="H61" s="20">
        <v>2755277</v>
      </c>
      <c r="I61" s="20">
        <f>2424900+106217*0</f>
        <v>2424900</v>
      </c>
      <c r="J61" s="20">
        <v>2301900</v>
      </c>
      <c r="K61" s="20">
        <v>2203200</v>
      </c>
      <c r="N61" s="20"/>
      <c r="O61" s="20">
        <v>2420693</v>
      </c>
      <c r="P61" s="20">
        <v>2354115</v>
      </c>
      <c r="Q61" s="20">
        <v>2644067</v>
      </c>
      <c r="R61" s="20">
        <v>2260265</v>
      </c>
      <c r="S61" s="20">
        <v>2110697.1</v>
      </c>
      <c r="T61" s="20">
        <v>2110095</v>
      </c>
    </row>
    <row r="62" spans="1:20" outlineLevel="2">
      <c r="A62" s="5"/>
      <c r="B62" s="4">
        <v>200</v>
      </c>
      <c r="C62" s="5" t="s">
        <v>17</v>
      </c>
      <c r="D62" s="5"/>
      <c r="E62" s="23">
        <v>8348386</v>
      </c>
      <c r="F62" s="23">
        <v>7848700</v>
      </c>
      <c r="G62" s="23">
        <v>9013200</v>
      </c>
      <c r="H62" s="23">
        <v>8712700</v>
      </c>
      <c r="I62" s="23">
        <v>7767700</v>
      </c>
      <c r="J62" s="23">
        <v>7645200</v>
      </c>
      <c r="K62" s="23">
        <v>3874500</v>
      </c>
      <c r="N62" s="23"/>
      <c r="O62" s="23">
        <v>7167949</v>
      </c>
      <c r="P62" s="23">
        <v>8040229</v>
      </c>
      <c r="Q62" s="23">
        <v>8001034</v>
      </c>
      <c r="R62" s="23">
        <v>7244654</v>
      </c>
      <c r="S62" s="23">
        <v>6591039</v>
      </c>
      <c r="T62" s="23">
        <v>4525982</v>
      </c>
    </row>
    <row r="63" spans="1:20" outlineLevel="2">
      <c r="A63" s="5"/>
      <c r="B63" s="4">
        <v>300</v>
      </c>
      <c r="C63" s="5" t="s">
        <v>19</v>
      </c>
      <c r="D63" s="5"/>
      <c r="E63" s="23">
        <v>539124</v>
      </c>
      <c r="F63" s="23">
        <v>483500</v>
      </c>
      <c r="G63" s="23">
        <v>376300</v>
      </c>
      <c r="H63" s="23">
        <v>372800</v>
      </c>
      <c r="I63" s="23">
        <v>371800</v>
      </c>
      <c r="J63" s="23">
        <v>320800</v>
      </c>
      <c r="K63" s="23">
        <v>320800</v>
      </c>
      <c r="N63" s="23"/>
      <c r="O63" s="23">
        <v>264012</v>
      </c>
      <c r="P63" s="23">
        <v>279935</v>
      </c>
      <c r="Q63" s="23">
        <v>156358</v>
      </c>
      <c r="R63" s="23">
        <v>168011</v>
      </c>
      <c r="S63" s="23">
        <v>219958.96</v>
      </c>
      <c r="T63" s="23">
        <v>206542</v>
      </c>
    </row>
    <row r="64" spans="1:20" outlineLevel="2">
      <c r="A64" s="5"/>
      <c r="B64" s="4">
        <v>400</v>
      </c>
      <c r="C64" s="5" t="s">
        <v>20</v>
      </c>
      <c r="D64" s="5"/>
      <c r="E64" s="23">
        <v>15500</v>
      </c>
      <c r="F64" s="23">
        <v>15500</v>
      </c>
      <c r="G64" s="23">
        <v>15500</v>
      </c>
      <c r="H64" s="23">
        <v>15500</v>
      </c>
      <c r="I64" s="23">
        <v>15500</v>
      </c>
      <c r="J64" s="23">
        <v>15500</v>
      </c>
      <c r="K64" s="23">
        <v>12500</v>
      </c>
      <c r="N64" s="23"/>
      <c r="O64" s="23">
        <v>681</v>
      </c>
      <c r="P64" s="23">
        <v>27829</v>
      </c>
      <c r="Q64" s="23">
        <v>13757</v>
      </c>
      <c r="R64" s="23">
        <v>1134</v>
      </c>
      <c r="S64" s="23">
        <v>17733.52</v>
      </c>
      <c r="T64" s="23">
        <v>2688</v>
      </c>
    </row>
    <row r="65" spans="1:20" outlineLevel="2">
      <c r="A65" s="5"/>
      <c r="B65" s="4">
        <v>500</v>
      </c>
      <c r="C65" s="5" t="s">
        <v>21</v>
      </c>
      <c r="D65" s="5"/>
      <c r="E65" s="23">
        <v>500000</v>
      </c>
      <c r="F65" s="23">
        <v>400000</v>
      </c>
      <c r="G65" s="23"/>
      <c r="H65" s="23"/>
      <c r="I65" s="23">
        <v>0</v>
      </c>
      <c r="J65" s="23">
        <v>0</v>
      </c>
      <c r="K65" s="23">
        <v>0</v>
      </c>
      <c r="N65" s="23"/>
      <c r="O65" s="23">
        <v>400000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</row>
    <row r="66" spans="1:20" outlineLevel="2">
      <c r="A66" s="5"/>
      <c r="B66" s="4">
        <v>800</v>
      </c>
      <c r="C66" s="5" t="s">
        <v>5</v>
      </c>
      <c r="D66" s="5"/>
      <c r="E66" s="23"/>
      <c r="F66" s="23"/>
      <c r="G66" s="23"/>
      <c r="H66" s="23"/>
      <c r="I66" s="23">
        <v>0</v>
      </c>
      <c r="J66" s="23">
        <v>0</v>
      </c>
      <c r="K66" s="23">
        <v>0</v>
      </c>
      <c r="N66" s="23"/>
      <c r="O66" s="23"/>
      <c r="P66" s="23">
        <v>0</v>
      </c>
      <c r="Q66" s="23">
        <v>0</v>
      </c>
      <c r="R66" s="23">
        <v>0</v>
      </c>
      <c r="S66" s="23">
        <v>0</v>
      </c>
      <c r="T66" s="23">
        <v>0</v>
      </c>
    </row>
    <row r="67" spans="1:20" ht="6" customHeight="1" outlineLevel="2">
      <c r="A67" s="5"/>
      <c r="B67" s="4"/>
      <c r="C67" s="5"/>
      <c r="D67" s="5"/>
      <c r="E67" s="5"/>
      <c r="F67" s="5"/>
      <c r="G67" s="5"/>
      <c r="H67" s="5"/>
      <c r="I67" s="5"/>
      <c r="J67" s="5"/>
      <c r="K67" s="5"/>
    </row>
    <row r="68" spans="1:20" outlineLevel="2">
      <c r="A68" s="24" t="str">
        <f>"Subtotal "&amp;A60</f>
        <v>Subtotal Public Affairs</v>
      </c>
      <c r="B68" s="5"/>
      <c r="C68" s="5"/>
      <c r="D68" s="5"/>
      <c r="E68" s="25">
        <f t="shared" ref="E68:K68" si="10">SUM(E61:E67)</f>
        <v>14649566</v>
      </c>
      <c r="F68" s="25">
        <f t="shared" si="10"/>
        <v>11608444</v>
      </c>
      <c r="G68" s="25">
        <f t="shared" si="10"/>
        <v>12236100</v>
      </c>
      <c r="H68" s="25">
        <f t="shared" si="10"/>
        <v>11856277</v>
      </c>
      <c r="I68" s="25">
        <f t="shared" si="10"/>
        <v>10579900</v>
      </c>
      <c r="J68" s="25">
        <f t="shared" si="10"/>
        <v>10283400</v>
      </c>
      <c r="K68" s="25">
        <f t="shared" si="10"/>
        <v>6411000</v>
      </c>
      <c r="L68" s="5"/>
      <c r="M68" s="5"/>
      <c r="N68" s="25"/>
      <c r="O68" s="25">
        <f>SUM(O61:O67)</f>
        <v>10253335</v>
      </c>
      <c r="P68" s="25">
        <f>SUM(P61:P67)</f>
        <v>10702108</v>
      </c>
      <c r="Q68" s="25">
        <f t="shared" ref="Q68:T68" si="11">SUM(Q61:Q67)</f>
        <v>10815216</v>
      </c>
      <c r="R68" s="25">
        <f t="shared" si="11"/>
        <v>9674064</v>
      </c>
      <c r="S68" s="25">
        <f t="shared" si="11"/>
        <v>8939428.5800000001</v>
      </c>
      <c r="T68" s="25">
        <f t="shared" si="11"/>
        <v>6845307</v>
      </c>
    </row>
    <row r="69" spans="1:20" outlineLevel="2"/>
    <row r="70" spans="1:20" ht="15.75" outlineLevel="1" thickBot="1">
      <c r="A70" s="18" t="s">
        <v>15</v>
      </c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</row>
    <row r="71" spans="1:20" outlineLevel="2">
      <c r="A71" s="5"/>
      <c r="B71" s="4">
        <v>100</v>
      </c>
      <c r="C71" s="5" t="s">
        <v>16</v>
      </c>
      <c r="D71" s="5"/>
      <c r="E71" s="8">
        <f t="shared" ref="E71:K80" si="12">SUMIF($B$7:$B$67,$B71,E$7:E$67)</f>
        <v>116470293</v>
      </c>
      <c r="F71" s="8">
        <f t="shared" si="12"/>
        <v>110365166</v>
      </c>
      <c r="G71" s="8">
        <f t="shared" si="12"/>
        <v>102961600</v>
      </c>
      <c r="H71" s="8">
        <f t="shared" si="12"/>
        <v>99059709</v>
      </c>
      <c r="I71" s="8">
        <f t="shared" si="12"/>
        <v>94023910</v>
      </c>
      <c r="J71" s="8">
        <f t="shared" si="12"/>
        <v>93863950</v>
      </c>
      <c r="K71" s="8">
        <f t="shared" si="12"/>
        <v>91841000</v>
      </c>
      <c r="L71" s="5"/>
      <c r="M71" s="5"/>
      <c r="N71" s="8"/>
      <c r="O71" s="8">
        <f t="shared" ref="O71:T80" si="13">SUMIF($B$7:$B$67,$B71,O$7:O$67)</f>
        <v>102685334</v>
      </c>
      <c r="P71" s="8">
        <f t="shared" si="13"/>
        <v>98158995</v>
      </c>
      <c r="Q71" s="8">
        <f t="shared" si="13"/>
        <v>98442849</v>
      </c>
      <c r="R71" s="8">
        <f t="shared" si="13"/>
        <v>89595130</v>
      </c>
      <c r="S71" s="8">
        <f t="shared" si="13"/>
        <v>85257974.549999997</v>
      </c>
      <c r="T71" s="8">
        <f t="shared" si="13"/>
        <v>82374874</v>
      </c>
    </row>
    <row r="72" spans="1:20" outlineLevel="2">
      <c r="A72" s="5"/>
      <c r="B72" s="4">
        <v>200</v>
      </c>
      <c r="C72" s="5" t="s">
        <v>17</v>
      </c>
      <c r="D72" s="5"/>
      <c r="E72" s="22">
        <f t="shared" si="12"/>
        <v>112564371</v>
      </c>
      <c r="F72" s="22">
        <f t="shared" si="12"/>
        <v>111911892</v>
      </c>
      <c r="G72" s="22">
        <f t="shared" si="12"/>
        <v>106658200</v>
      </c>
      <c r="H72" s="22">
        <f t="shared" si="12"/>
        <v>104129400</v>
      </c>
      <c r="I72" s="22">
        <f t="shared" si="12"/>
        <v>99536200</v>
      </c>
      <c r="J72" s="22">
        <f t="shared" si="12"/>
        <v>98281600</v>
      </c>
      <c r="K72" s="22">
        <f t="shared" si="12"/>
        <v>83150800</v>
      </c>
      <c r="L72" s="5"/>
      <c r="M72" s="5"/>
      <c r="N72" s="22"/>
      <c r="O72" s="22">
        <f t="shared" si="13"/>
        <v>107927977</v>
      </c>
      <c r="P72" s="22">
        <f t="shared" si="13"/>
        <v>90452339.450000003</v>
      </c>
      <c r="Q72" s="22">
        <f t="shared" si="13"/>
        <v>91146434</v>
      </c>
      <c r="R72" s="22">
        <f t="shared" si="13"/>
        <v>84060600</v>
      </c>
      <c r="S72" s="22">
        <f t="shared" si="13"/>
        <v>83187729.554399997</v>
      </c>
      <c r="T72" s="22">
        <f t="shared" si="13"/>
        <v>79469782.0502</v>
      </c>
    </row>
    <row r="73" spans="1:20" outlineLevel="2">
      <c r="A73" s="5"/>
      <c r="B73" s="4">
        <v>220</v>
      </c>
      <c r="C73" s="5" t="s">
        <v>18</v>
      </c>
      <c r="D73" s="5"/>
      <c r="E73" s="22">
        <f t="shared" si="12"/>
        <v>24313500</v>
      </c>
      <c r="F73" s="22">
        <f t="shared" si="12"/>
        <v>23265000</v>
      </c>
      <c r="G73" s="22">
        <f t="shared" si="12"/>
        <v>27845000</v>
      </c>
      <c r="H73" s="22">
        <f t="shared" si="12"/>
        <v>25714000</v>
      </c>
      <c r="I73" s="22">
        <f t="shared" si="12"/>
        <v>26994900</v>
      </c>
      <c r="J73" s="22">
        <f t="shared" si="12"/>
        <v>29362900</v>
      </c>
      <c r="K73" s="22">
        <f t="shared" si="12"/>
        <v>27128000</v>
      </c>
      <c r="L73" s="5"/>
      <c r="M73" s="5"/>
      <c r="N73" s="22"/>
      <c r="O73" s="22">
        <f t="shared" si="13"/>
        <v>18223847</v>
      </c>
      <c r="P73" s="22">
        <f t="shared" si="13"/>
        <v>20071555.550000001</v>
      </c>
      <c r="Q73" s="22">
        <f t="shared" si="13"/>
        <v>20427534</v>
      </c>
      <c r="R73" s="22">
        <f t="shared" si="13"/>
        <v>21440579</v>
      </c>
      <c r="S73" s="22">
        <f t="shared" si="13"/>
        <v>24375673.91</v>
      </c>
      <c r="T73" s="22">
        <f t="shared" si="13"/>
        <v>24841360</v>
      </c>
    </row>
    <row r="74" spans="1:20" outlineLevel="2">
      <c r="A74" s="5"/>
      <c r="B74" s="4">
        <v>221</v>
      </c>
      <c r="C74" s="5" t="s">
        <v>11</v>
      </c>
      <c r="D74" s="5"/>
      <c r="E74" s="22">
        <f t="shared" si="12"/>
        <v>5593650</v>
      </c>
      <c r="F74" s="22">
        <f t="shared" si="12"/>
        <v>5538900</v>
      </c>
      <c r="G74" s="22">
        <f t="shared" si="12"/>
        <v>5692000</v>
      </c>
      <c r="H74" s="22">
        <f t="shared" si="12"/>
        <v>4000000</v>
      </c>
      <c r="I74" s="22">
        <f t="shared" si="12"/>
        <v>4600000</v>
      </c>
      <c r="J74" s="22">
        <f t="shared" si="12"/>
        <v>4000000</v>
      </c>
      <c r="K74" s="22">
        <f t="shared" si="12"/>
        <v>3780000</v>
      </c>
      <c r="L74" s="5"/>
      <c r="M74" s="5"/>
      <c r="N74" s="22"/>
      <c r="O74" s="22">
        <f t="shared" si="13"/>
        <v>3176528</v>
      </c>
      <c r="P74" s="22">
        <f t="shared" si="13"/>
        <v>4013404</v>
      </c>
      <c r="Q74" s="22">
        <f t="shared" si="13"/>
        <v>4190988</v>
      </c>
      <c r="R74" s="22">
        <f t="shared" si="13"/>
        <v>3561029</v>
      </c>
      <c r="S74" s="22">
        <f t="shared" si="13"/>
        <v>3458000</v>
      </c>
      <c r="T74" s="22">
        <f t="shared" si="13"/>
        <v>3545811</v>
      </c>
    </row>
    <row r="75" spans="1:20" outlineLevel="2">
      <c r="A75" s="5"/>
      <c r="B75" s="4" t="s">
        <v>7</v>
      </c>
      <c r="C75" s="5" t="s">
        <v>8</v>
      </c>
      <c r="D75" s="5"/>
      <c r="E75" s="22">
        <f t="shared" si="12"/>
        <v>15000000</v>
      </c>
      <c r="F75" s="22">
        <f t="shared" si="12"/>
        <v>15000000</v>
      </c>
      <c r="G75" s="22">
        <f t="shared" si="12"/>
        <v>11450000</v>
      </c>
      <c r="H75" s="22">
        <f t="shared" si="12"/>
        <v>10250000</v>
      </c>
      <c r="I75" s="22">
        <f t="shared" si="12"/>
        <v>5200000</v>
      </c>
      <c r="J75" s="22">
        <f t="shared" si="12"/>
        <v>5175000</v>
      </c>
      <c r="K75" s="22">
        <f t="shared" si="12"/>
        <v>5050000</v>
      </c>
      <c r="L75" s="5"/>
      <c r="M75" s="5"/>
      <c r="N75" s="22"/>
      <c r="O75" s="22">
        <f t="shared" si="13"/>
        <v>15000000</v>
      </c>
      <c r="P75" s="22">
        <f t="shared" si="13"/>
        <v>15000000</v>
      </c>
      <c r="Q75" s="22">
        <f t="shared" si="13"/>
        <v>11598134</v>
      </c>
      <c r="R75" s="22">
        <f t="shared" si="13"/>
        <v>5020143</v>
      </c>
      <c r="S75" s="22">
        <f t="shared" si="13"/>
        <v>4925776</v>
      </c>
      <c r="T75" s="22">
        <f t="shared" si="13"/>
        <v>5025000</v>
      </c>
    </row>
    <row r="76" spans="1:20" outlineLevel="2">
      <c r="A76" s="5"/>
      <c r="B76" s="4">
        <v>300</v>
      </c>
      <c r="C76" s="5" t="s">
        <v>19</v>
      </c>
      <c r="D76" s="5"/>
      <c r="E76" s="22">
        <f t="shared" si="12"/>
        <v>23511710</v>
      </c>
      <c r="F76" s="22">
        <f t="shared" si="12"/>
        <v>22908685</v>
      </c>
      <c r="G76" s="22">
        <f t="shared" si="12"/>
        <v>21486050</v>
      </c>
      <c r="H76" s="22">
        <f t="shared" si="12"/>
        <v>21427550</v>
      </c>
      <c r="I76" s="22">
        <f t="shared" si="12"/>
        <v>20557000</v>
      </c>
      <c r="J76" s="22">
        <f t="shared" si="12"/>
        <v>20692400</v>
      </c>
      <c r="K76" s="22">
        <f t="shared" si="12"/>
        <v>19628600</v>
      </c>
      <c r="L76" s="5"/>
      <c r="M76" s="5"/>
      <c r="N76" s="22"/>
      <c r="O76" s="22">
        <f t="shared" si="13"/>
        <v>19990551</v>
      </c>
      <c r="P76" s="22">
        <f t="shared" si="13"/>
        <v>17169785</v>
      </c>
      <c r="Q76" s="22">
        <f t="shared" si="13"/>
        <v>16700350</v>
      </c>
      <c r="R76" s="22">
        <f t="shared" si="13"/>
        <v>16672141</v>
      </c>
      <c r="S76" s="22">
        <f t="shared" si="13"/>
        <v>18713544.900000002</v>
      </c>
      <c r="T76" s="22">
        <f t="shared" si="13"/>
        <v>18027143</v>
      </c>
    </row>
    <row r="77" spans="1:20" outlineLevel="2">
      <c r="A77" s="5"/>
      <c r="B77" s="4">
        <v>307</v>
      </c>
      <c r="C77" s="5" t="s">
        <v>12</v>
      </c>
      <c r="D77" s="5"/>
      <c r="E77" s="22">
        <f t="shared" si="12"/>
        <v>21872905</v>
      </c>
      <c r="F77" s="22">
        <f t="shared" si="12"/>
        <v>21880928</v>
      </c>
      <c r="G77" s="22">
        <f t="shared" si="12"/>
        <v>22575800</v>
      </c>
      <c r="H77" s="22">
        <f t="shared" si="12"/>
        <v>23668950</v>
      </c>
      <c r="I77" s="22">
        <f t="shared" si="12"/>
        <v>23435500</v>
      </c>
      <c r="J77" s="22">
        <f t="shared" si="12"/>
        <v>23537400</v>
      </c>
      <c r="K77" s="22">
        <f t="shared" si="12"/>
        <v>22502000</v>
      </c>
      <c r="L77" s="5"/>
      <c r="M77" s="5"/>
      <c r="N77" s="22"/>
      <c r="O77" s="22">
        <f t="shared" si="13"/>
        <v>18596601</v>
      </c>
      <c r="P77" s="22">
        <f t="shared" si="13"/>
        <v>21075520</v>
      </c>
      <c r="Q77" s="22">
        <f t="shared" si="13"/>
        <v>22324969</v>
      </c>
      <c r="R77" s="22">
        <f t="shared" si="13"/>
        <v>24446114</v>
      </c>
      <c r="S77" s="22">
        <f t="shared" si="13"/>
        <v>22602203</v>
      </c>
      <c r="T77" s="22">
        <f t="shared" si="13"/>
        <v>20239205</v>
      </c>
    </row>
    <row r="78" spans="1:20" outlineLevel="2">
      <c r="A78" s="5"/>
      <c r="B78" s="4">
        <v>400</v>
      </c>
      <c r="C78" s="5" t="s">
        <v>20</v>
      </c>
      <c r="D78" s="5"/>
      <c r="E78" s="22">
        <f t="shared" si="12"/>
        <v>3550178</v>
      </c>
      <c r="F78" s="22">
        <f t="shared" si="12"/>
        <v>3747956</v>
      </c>
      <c r="G78" s="22">
        <f t="shared" si="12"/>
        <v>3398350</v>
      </c>
      <c r="H78" s="22">
        <f t="shared" si="12"/>
        <v>2666850</v>
      </c>
      <c r="I78" s="22">
        <f t="shared" si="12"/>
        <v>3745500</v>
      </c>
      <c r="J78" s="22">
        <f t="shared" si="12"/>
        <v>3245100</v>
      </c>
      <c r="K78" s="22">
        <f t="shared" si="12"/>
        <v>3650400</v>
      </c>
      <c r="L78" s="5"/>
      <c r="M78" s="5"/>
      <c r="N78" s="22"/>
      <c r="O78" s="22">
        <f t="shared" si="13"/>
        <v>2120160</v>
      </c>
      <c r="P78" s="22">
        <f t="shared" si="13"/>
        <v>1992145</v>
      </c>
      <c r="Q78" s="22">
        <f t="shared" si="13"/>
        <v>1849016</v>
      </c>
      <c r="R78" s="22">
        <f t="shared" si="13"/>
        <v>2419659</v>
      </c>
      <c r="S78" s="22">
        <f t="shared" si="13"/>
        <v>1804839</v>
      </c>
      <c r="T78" s="22">
        <f t="shared" si="13"/>
        <v>2082059</v>
      </c>
    </row>
    <row r="79" spans="1:20" outlineLevel="2">
      <c r="A79" s="5"/>
      <c r="B79" s="4">
        <v>500</v>
      </c>
      <c r="C79" s="5" t="s">
        <v>21</v>
      </c>
      <c r="D79" s="5"/>
      <c r="E79" s="22">
        <f t="shared" si="12"/>
        <v>600000</v>
      </c>
      <c r="F79" s="22">
        <f t="shared" si="12"/>
        <v>501000</v>
      </c>
      <c r="G79" s="22">
        <f t="shared" si="12"/>
        <v>100000</v>
      </c>
      <c r="H79" s="22">
        <f t="shared" si="12"/>
        <v>100000</v>
      </c>
      <c r="I79" s="22">
        <f t="shared" si="12"/>
        <v>100000</v>
      </c>
      <c r="J79" s="22">
        <f t="shared" si="12"/>
        <v>100000</v>
      </c>
      <c r="K79" s="22">
        <f t="shared" si="12"/>
        <v>100000</v>
      </c>
      <c r="L79" s="5"/>
      <c r="M79" s="5"/>
      <c r="N79" s="22"/>
      <c r="O79" s="22">
        <f t="shared" si="13"/>
        <v>400000</v>
      </c>
      <c r="P79" s="22">
        <f t="shared" si="13"/>
        <v>0</v>
      </c>
      <c r="Q79" s="22">
        <f t="shared" si="13"/>
        <v>0</v>
      </c>
      <c r="R79" s="22">
        <f t="shared" si="13"/>
        <v>0</v>
      </c>
      <c r="S79" s="22">
        <f t="shared" si="13"/>
        <v>0</v>
      </c>
      <c r="T79" s="22">
        <f t="shared" si="13"/>
        <v>0</v>
      </c>
    </row>
    <row r="80" spans="1:20" outlineLevel="2">
      <c r="A80" s="5"/>
      <c r="B80" s="4">
        <v>800</v>
      </c>
      <c r="C80" s="5" t="s">
        <v>5</v>
      </c>
      <c r="D80" s="5"/>
      <c r="E80" s="22">
        <f t="shared" si="12"/>
        <v>11000000</v>
      </c>
      <c r="F80" s="22">
        <f t="shared" si="12"/>
        <v>9000000</v>
      </c>
      <c r="G80" s="22">
        <f t="shared" si="12"/>
        <v>10537000</v>
      </c>
      <c r="H80" s="22">
        <f t="shared" si="12"/>
        <v>14000000</v>
      </c>
      <c r="I80" s="22">
        <f t="shared" si="12"/>
        <v>13243100</v>
      </c>
      <c r="J80" s="22">
        <f t="shared" si="12"/>
        <v>12605000</v>
      </c>
      <c r="K80" s="22">
        <f t="shared" si="12"/>
        <v>10948900</v>
      </c>
      <c r="L80" s="5"/>
      <c r="M80" s="5"/>
      <c r="N80" s="22"/>
      <c r="O80" s="22">
        <f t="shared" si="13"/>
        <v>12097064</v>
      </c>
      <c r="P80" s="22">
        <f t="shared" si="13"/>
        <v>8100186</v>
      </c>
      <c r="Q80" s="22">
        <f t="shared" si="13"/>
        <v>6244621</v>
      </c>
      <c r="R80" s="22">
        <f t="shared" si="13"/>
        <v>7714419</v>
      </c>
      <c r="S80" s="22">
        <f t="shared" si="13"/>
        <v>10792914</v>
      </c>
      <c r="T80" s="22">
        <f t="shared" si="13"/>
        <v>9074729</v>
      </c>
    </row>
    <row r="81" spans="1:20" ht="6" customHeight="1" outlineLevel="2">
      <c r="A81" s="5"/>
      <c r="B81" s="4"/>
      <c r="C81" s="5"/>
      <c r="D81" s="5"/>
      <c r="E81" s="10"/>
      <c r="F81" s="10"/>
      <c r="G81" s="10"/>
      <c r="H81" s="10"/>
      <c r="I81" s="10"/>
      <c r="J81" s="10"/>
      <c r="K81" s="10"/>
      <c r="N81" s="10"/>
      <c r="O81" s="10"/>
      <c r="P81" s="10"/>
      <c r="Q81" s="10"/>
      <c r="R81" s="10"/>
      <c r="S81" s="10"/>
      <c r="T81" s="10"/>
    </row>
    <row r="82" spans="1:20" outlineLevel="2">
      <c r="A82" s="7" t="str">
        <f>"Total "&amp;A70</f>
        <v>Total PWD Operating and Maintenance Expenses Summary</v>
      </c>
      <c r="B82" s="7"/>
      <c r="C82" s="7"/>
      <c r="D82" s="5"/>
      <c r="E82" s="31">
        <f>SUM(E71:E81)</f>
        <v>334476607</v>
      </c>
      <c r="F82" s="31">
        <f>SUM(F71:F81)</f>
        <v>324119527</v>
      </c>
      <c r="G82" s="31">
        <f t="shared" ref="G82:K82" si="14">SUM(G71:G81)</f>
        <v>312704000</v>
      </c>
      <c r="H82" s="31">
        <f t="shared" si="14"/>
        <v>305016459</v>
      </c>
      <c r="I82" s="31">
        <f t="shared" si="14"/>
        <v>291436110</v>
      </c>
      <c r="J82" s="31">
        <f t="shared" si="14"/>
        <v>290863350</v>
      </c>
      <c r="K82" s="31">
        <f t="shared" si="14"/>
        <v>267779700</v>
      </c>
      <c r="L82" s="5"/>
      <c r="M82" s="5"/>
      <c r="N82" s="31"/>
      <c r="O82" s="31">
        <f>SUM(O71:O81)</f>
        <v>300218062</v>
      </c>
      <c r="P82" s="31">
        <f>SUM(P71:P81)</f>
        <v>276033930</v>
      </c>
      <c r="Q82" s="31">
        <f>SUM(Q71:Q81)</f>
        <v>272924895</v>
      </c>
      <c r="R82" s="31">
        <f t="shared" ref="R82:T82" si="15">SUM(R71:R81)</f>
        <v>254929814</v>
      </c>
      <c r="S82" s="31">
        <f t="shared" si="15"/>
        <v>255118654.91439998</v>
      </c>
      <c r="T82" s="31">
        <f t="shared" si="15"/>
        <v>244679963.05019999</v>
      </c>
    </row>
    <row r="83" spans="1:20" outlineLevel="2">
      <c r="A83" s="7"/>
      <c r="B83" s="7"/>
      <c r="C83" s="7"/>
      <c r="D83" s="5"/>
      <c r="E83" s="31"/>
      <c r="F83" s="31"/>
      <c r="G83" s="31"/>
      <c r="H83" s="31"/>
      <c r="I83" s="31"/>
      <c r="J83" s="31"/>
      <c r="K83" s="31"/>
      <c r="L83" s="5"/>
      <c r="M83" s="5"/>
      <c r="N83" s="31"/>
      <c r="O83" s="31"/>
      <c r="P83" s="31"/>
      <c r="Q83" s="31"/>
      <c r="R83" s="31"/>
      <c r="S83" s="31"/>
      <c r="T83" s="31"/>
    </row>
    <row r="84" spans="1:20" outlineLevel="2">
      <c r="A84" s="7" t="s">
        <v>22</v>
      </c>
      <c r="B84" s="7"/>
      <c r="C84" s="7"/>
      <c r="D84" s="5"/>
      <c r="E84" s="31">
        <f t="shared" ref="E84:K84" si="16">+E14+E25+E35+E48+E58+E68-E82</f>
        <v>0</v>
      </c>
      <c r="F84" s="31">
        <f t="shared" si="16"/>
        <v>0</v>
      </c>
      <c r="G84" s="31">
        <f t="shared" si="16"/>
        <v>0</v>
      </c>
      <c r="H84" s="31">
        <f t="shared" si="16"/>
        <v>0</v>
      </c>
      <c r="I84" s="31">
        <f t="shared" si="16"/>
        <v>0</v>
      </c>
      <c r="J84" s="31">
        <f t="shared" si="16"/>
        <v>0</v>
      </c>
      <c r="K84" s="31">
        <f t="shared" si="16"/>
        <v>0</v>
      </c>
      <c r="L84" s="5"/>
      <c r="M84" s="5"/>
      <c r="N84" s="31"/>
      <c r="O84" s="31">
        <f>+O14+O25+O35+O48+O58+O68-O82</f>
        <v>0</v>
      </c>
      <c r="P84" s="31">
        <f>+P14+P25+P35+P48+P58+P68-P82</f>
        <v>0</v>
      </c>
      <c r="Q84" s="31">
        <f t="shared" ref="Q84:T84" si="17">+Q14+Q25+Q35+Q48+Q58+Q68-Q82</f>
        <v>0</v>
      </c>
      <c r="R84" s="31">
        <f t="shared" si="17"/>
        <v>0</v>
      </c>
      <c r="S84" s="31">
        <f t="shared" si="17"/>
        <v>0</v>
      </c>
      <c r="T84" s="31">
        <f t="shared" si="17"/>
        <v>0</v>
      </c>
    </row>
    <row r="85" spans="1:20" outlineLevel="2"/>
    <row r="86" spans="1:20">
      <c r="B86" s="5"/>
      <c r="C86" s="5"/>
      <c r="D86" s="5"/>
    </row>
    <row r="87" spans="1:20">
      <c r="B87" s="5"/>
      <c r="C87" s="5"/>
      <c r="D87" s="5"/>
      <c r="O87" s="27"/>
      <c r="P87" s="27"/>
      <c r="Q87" s="27"/>
      <c r="R87" s="27"/>
      <c r="S87" s="27"/>
      <c r="T87" s="27"/>
    </row>
  </sheetData>
  <pageMargins left="0.25" right="0.25" top="0.75" bottom="0.75" header="0.3" footer="0.3"/>
  <pageSetup fitToHeight="0" orientation="landscape" r:id="rId1"/>
  <headerFooter>
    <oddHeader>&amp;LFY 2017 ‐ 2018 Rate Proceeding&amp;CWORKPAPERS&amp;RFinancial Planning Model</oddHeader>
    <oddFooter>&amp;LBlack &amp;&amp; Veatch&amp;R&amp;D</oddFooter>
  </headerFooter>
  <rowBreaks count="1" manualBreakCount="1">
    <brk id="5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theme="6"/>
    <pageSetUpPr fitToPage="1"/>
  </sheetPr>
  <dimension ref="A1:X135"/>
  <sheetViews>
    <sheetView zoomScale="80" zoomScaleNormal="80" workbookViewId="0">
      <pane xSplit="3" ySplit="3" topLeftCell="D100" activePane="bottomRight" state="frozen"/>
      <selection pane="topRight" activeCell="E1" sqref="E1"/>
      <selection pane="bottomLeft" activeCell="A29" sqref="A29"/>
      <selection pane="bottomRight" activeCell="E134" sqref="E134"/>
    </sheetView>
  </sheetViews>
  <sheetFormatPr defaultColWidth="9" defaultRowHeight="15" outlineLevelRow="2"/>
  <cols>
    <col min="1" max="1" width="9.875" style="33" customWidth="1"/>
    <col min="2" max="2" width="10.375" style="33" customWidth="1"/>
    <col min="3" max="3" width="21.375" style="33" customWidth="1"/>
    <col min="4" max="4" width="9" style="33"/>
    <col min="5" max="11" width="12.625" style="33" bestFit="1" customWidth="1"/>
    <col min="12" max="13" width="9" style="33"/>
    <col min="14" max="14" width="12.625" style="33" bestFit="1" customWidth="1"/>
    <col min="15" max="15" width="15.75" style="33" bestFit="1" customWidth="1"/>
    <col min="16" max="20" width="12.625" style="33" bestFit="1" customWidth="1"/>
    <col min="21" max="16384" width="9" style="33"/>
  </cols>
  <sheetData>
    <row r="1" spans="1:21" ht="18.75">
      <c r="A1" s="32"/>
      <c r="D1" s="34"/>
      <c r="E1" s="34"/>
      <c r="F1" s="34"/>
      <c r="G1" s="34"/>
      <c r="H1" s="34"/>
      <c r="I1" s="34"/>
      <c r="J1" s="34"/>
      <c r="K1" s="34"/>
      <c r="N1" s="62" t="s">
        <v>47</v>
      </c>
      <c r="O1" s="62" t="s">
        <v>46</v>
      </c>
    </row>
    <row r="2" spans="1:21" ht="18.75">
      <c r="D2" s="34"/>
      <c r="E2" s="34"/>
      <c r="F2" s="39" t="s">
        <v>0</v>
      </c>
      <c r="G2" s="39"/>
      <c r="H2" s="39"/>
      <c r="I2" s="39"/>
      <c r="J2" s="40"/>
      <c r="K2" s="40"/>
      <c r="L2" s="34"/>
      <c r="M2" s="34"/>
      <c r="N2" s="39"/>
      <c r="O2" s="39" t="s">
        <v>1</v>
      </c>
      <c r="P2" s="39"/>
      <c r="Q2" s="39"/>
      <c r="R2" s="39"/>
      <c r="S2" s="39"/>
      <c r="T2" s="39"/>
    </row>
    <row r="3" spans="1:21" s="38" customFormat="1" ht="18.75">
      <c r="A3" s="41" t="s">
        <v>2</v>
      </c>
      <c r="B3" s="42"/>
      <c r="C3" s="42"/>
      <c r="D3" s="36"/>
      <c r="E3" s="43">
        <v>2018</v>
      </c>
      <c r="F3" s="35">
        <v>2017</v>
      </c>
      <c r="G3" s="35">
        <v>2016</v>
      </c>
      <c r="H3" s="35">
        <v>2015</v>
      </c>
      <c r="I3" s="35">
        <v>2014</v>
      </c>
      <c r="J3" s="35">
        <v>2013</v>
      </c>
      <c r="K3" s="35">
        <v>2012</v>
      </c>
      <c r="L3" s="36"/>
      <c r="M3" s="36"/>
      <c r="N3" s="35">
        <v>2018</v>
      </c>
      <c r="O3" s="35">
        <v>2017</v>
      </c>
      <c r="P3" s="35">
        <v>2016</v>
      </c>
      <c r="Q3" s="35">
        <v>2015</v>
      </c>
      <c r="R3" s="35">
        <v>2014</v>
      </c>
      <c r="S3" s="35">
        <v>2013</v>
      </c>
      <c r="T3" s="35">
        <v>2012</v>
      </c>
    </row>
    <row r="4" spans="1:21" s="38" customFormat="1" ht="9.75" customHeight="1">
      <c r="A4" s="42"/>
      <c r="B4" s="42"/>
      <c r="C4" s="42"/>
      <c r="D4" s="36"/>
      <c r="E4" s="36"/>
      <c r="F4" s="35"/>
      <c r="G4" s="35"/>
      <c r="H4" s="35"/>
      <c r="I4" s="35"/>
      <c r="J4" s="35"/>
      <c r="K4" s="35"/>
      <c r="L4" s="36"/>
      <c r="M4" s="36"/>
      <c r="N4" s="35"/>
      <c r="O4" s="35"/>
      <c r="P4" s="35"/>
      <c r="Q4" s="35"/>
      <c r="R4" s="35"/>
      <c r="S4" s="35"/>
      <c r="T4" s="35"/>
    </row>
    <row r="5" spans="1:21" s="38" customFormat="1" ht="18.75">
      <c r="A5" s="42"/>
      <c r="B5" s="42"/>
      <c r="C5" s="42"/>
      <c r="D5" s="36"/>
      <c r="E5" s="36"/>
      <c r="F5" s="35"/>
      <c r="G5" s="35"/>
      <c r="H5" s="35"/>
      <c r="I5" s="35"/>
      <c r="J5" s="35"/>
      <c r="K5" s="35"/>
      <c r="L5" s="36"/>
      <c r="M5" s="36"/>
      <c r="N5" s="35"/>
      <c r="O5" s="35"/>
      <c r="P5" s="35"/>
      <c r="Q5" s="35"/>
      <c r="R5" s="35"/>
      <c r="S5" s="35"/>
      <c r="T5" s="35"/>
    </row>
    <row r="6" spans="1:21" s="38" customFormat="1" ht="18.75">
      <c r="A6" s="42"/>
      <c r="B6" s="42"/>
      <c r="C6" s="42"/>
      <c r="D6" s="36"/>
      <c r="E6" s="36"/>
      <c r="F6" s="35"/>
      <c r="G6" s="35"/>
      <c r="H6" s="35"/>
      <c r="I6" s="35"/>
      <c r="J6" s="35"/>
      <c r="K6" s="35"/>
      <c r="L6" s="36"/>
      <c r="M6" s="36"/>
      <c r="N6" s="35"/>
      <c r="O6" s="35"/>
      <c r="P6" s="35"/>
      <c r="Q6" s="35"/>
      <c r="R6" s="35"/>
      <c r="S6" s="35"/>
      <c r="T6" s="35"/>
    </row>
    <row r="7" spans="1:21" s="38" customFormat="1" ht="18.75">
      <c r="A7" s="42"/>
      <c r="B7" s="42"/>
      <c r="C7" s="42"/>
      <c r="D7" s="36"/>
      <c r="E7" s="36"/>
      <c r="F7" s="35"/>
      <c r="G7" s="35"/>
      <c r="H7" s="35"/>
      <c r="I7" s="35"/>
      <c r="J7" s="35"/>
      <c r="K7" s="35"/>
      <c r="L7" s="36"/>
      <c r="M7" s="36"/>
      <c r="N7" s="35"/>
      <c r="O7" s="35"/>
      <c r="P7" s="35"/>
      <c r="Q7" s="35"/>
      <c r="R7" s="35"/>
      <c r="S7" s="35"/>
      <c r="T7" s="35"/>
    </row>
    <row r="8" spans="1:21" s="45" customFormat="1" ht="18.75">
      <c r="A8" s="60" t="s">
        <v>23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44">
        <v>1</v>
      </c>
    </row>
    <row r="9" spans="1:21" ht="15.75" outlineLevel="1" thickBot="1">
      <c r="A9" s="46" t="s">
        <v>24</v>
      </c>
      <c r="B9" s="46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0" spans="1:21" outlineLevel="2">
      <c r="A10" s="34"/>
      <c r="B10" s="49">
        <v>100</v>
      </c>
      <c r="C10" s="50" t="s">
        <v>16</v>
      </c>
      <c r="E10" s="20">
        <v>7256281</v>
      </c>
      <c r="F10" s="20">
        <f>6316852+13355</f>
        <v>6330207</v>
      </c>
      <c r="G10" s="20">
        <v>6265289</v>
      </c>
      <c r="H10" s="20">
        <v>5816911</v>
      </c>
      <c r="I10" s="20">
        <f>5601271+245350*0</f>
        <v>5601271</v>
      </c>
      <c r="J10" s="20">
        <v>5601271</v>
      </c>
      <c r="K10" s="20">
        <v>5149616</v>
      </c>
      <c r="N10" s="20"/>
      <c r="O10" s="20">
        <v>5893231</v>
      </c>
      <c r="P10" s="20">
        <v>5416218</v>
      </c>
      <c r="Q10" s="20">
        <v>5233042</v>
      </c>
      <c r="R10" s="20">
        <v>4621214</v>
      </c>
      <c r="S10" s="20">
        <v>4039582</v>
      </c>
      <c r="T10" s="20">
        <v>3994808</v>
      </c>
    </row>
    <row r="11" spans="1:21" outlineLevel="2">
      <c r="A11" s="34"/>
      <c r="B11" s="49">
        <v>200</v>
      </c>
      <c r="C11" s="50" t="s">
        <v>17</v>
      </c>
      <c r="E11" s="20">
        <v>19043874</v>
      </c>
      <c r="F11" s="23">
        <v>16050511</v>
      </c>
      <c r="G11" s="23">
        <v>14706497</v>
      </c>
      <c r="H11" s="23">
        <v>11551218</v>
      </c>
      <c r="I11" s="23">
        <v>10814511</v>
      </c>
      <c r="J11" s="23">
        <v>10035811</v>
      </c>
      <c r="K11" s="23">
        <v>10457725</v>
      </c>
      <c r="N11" s="23"/>
      <c r="O11" s="23">
        <v>12605190</v>
      </c>
      <c r="P11" s="23">
        <v>9957749</v>
      </c>
      <c r="Q11" s="23">
        <v>10226939</v>
      </c>
      <c r="R11" s="23">
        <v>9567462</v>
      </c>
      <c r="S11" s="23">
        <v>9214801</v>
      </c>
      <c r="T11" s="23">
        <v>6797598</v>
      </c>
    </row>
    <row r="12" spans="1:21" outlineLevel="2">
      <c r="A12" s="34"/>
      <c r="B12" s="49">
        <v>300</v>
      </c>
      <c r="C12" s="50" t="s">
        <v>19</v>
      </c>
      <c r="E12" s="20">
        <f>2411350+289200</f>
        <v>2700550</v>
      </c>
      <c r="F12" s="23">
        <v>2045628</v>
      </c>
      <c r="G12" s="23">
        <f>1808950+216200</f>
        <v>2025150</v>
      </c>
      <c r="H12" s="23">
        <f>1817650-300000*0</f>
        <v>1817650</v>
      </c>
      <c r="I12" s="23">
        <f>905350+300000</f>
        <v>1205350</v>
      </c>
      <c r="J12" s="23">
        <f>1034050+300000</f>
        <v>1334050</v>
      </c>
      <c r="K12" s="23">
        <f>954358+300000</f>
        <v>1254358</v>
      </c>
      <c r="N12" s="23"/>
      <c r="O12" s="23">
        <v>1634654</v>
      </c>
      <c r="P12" s="23">
        <v>848074</v>
      </c>
      <c r="Q12" s="23">
        <v>1609074</v>
      </c>
      <c r="R12" s="23">
        <v>944117</v>
      </c>
      <c r="S12" s="23">
        <v>791307</v>
      </c>
      <c r="T12" s="23">
        <v>737735</v>
      </c>
    </row>
    <row r="13" spans="1:21" outlineLevel="2">
      <c r="A13" s="34"/>
      <c r="B13" s="49">
        <v>400</v>
      </c>
      <c r="C13" s="50" t="s">
        <v>20</v>
      </c>
      <c r="E13" s="20"/>
      <c r="F13" s="23">
        <f>216200*0</f>
        <v>0</v>
      </c>
      <c r="G13" s="23">
        <f>216200*0</f>
        <v>0</v>
      </c>
      <c r="H13" s="23">
        <f>300000*0</f>
        <v>0</v>
      </c>
      <c r="I13" s="23">
        <f>300000*0</f>
        <v>0</v>
      </c>
      <c r="J13" s="23">
        <f>300000*0</f>
        <v>0</v>
      </c>
      <c r="K13" s="23">
        <f>300000*0</f>
        <v>0</v>
      </c>
      <c r="N13" s="23"/>
      <c r="O13" s="23"/>
      <c r="P13" s="23"/>
      <c r="Q13" s="23"/>
      <c r="R13" s="23"/>
      <c r="S13" s="23"/>
      <c r="T13" s="23"/>
    </row>
    <row r="14" spans="1:21" outlineLevel="2">
      <c r="A14" s="34"/>
      <c r="B14" s="49">
        <v>500</v>
      </c>
      <c r="C14" s="50" t="s">
        <v>21</v>
      </c>
      <c r="E14" s="20"/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N14" s="23"/>
      <c r="O14" s="23"/>
      <c r="P14" s="23"/>
      <c r="Q14" s="23"/>
      <c r="R14" s="23"/>
      <c r="S14" s="23">
        <v>0</v>
      </c>
      <c r="T14" s="23">
        <v>0</v>
      </c>
    </row>
    <row r="15" spans="1:21" outlineLevel="2">
      <c r="A15" s="34"/>
      <c r="B15" s="49">
        <v>800</v>
      </c>
      <c r="C15" s="50" t="s">
        <v>5</v>
      </c>
      <c r="E15" s="20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N15" s="23"/>
      <c r="O15" s="23"/>
      <c r="P15" s="23"/>
      <c r="Q15" s="23"/>
      <c r="R15" s="23"/>
      <c r="S15" s="23">
        <v>0</v>
      </c>
      <c r="T15" s="23">
        <v>0</v>
      </c>
    </row>
    <row r="16" spans="1:21" ht="6" customHeight="1" outlineLevel="2">
      <c r="A16" s="34"/>
      <c r="B16" s="49"/>
    </row>
    <row r="17" spans="1:20" outlineLevel="2">
      <c r="A17" s="52" t="str">
        <f>"Subtotal "&amp;A9</f>
        <v>Subtotal Division of Technology</v>
      </c>
      <c r="B17" s="49"/>
      <c r="E17" s="53">
        <f>SUM(E10:E16)</f>
        <v>29000705</v>
      </c>
      <c r="F17" s="53">
        <f>SUM(F10:F16)</f>
        <v>24426346</v>
      </c>
      <c r="G17" s="53">
        <f t="shared" ref="G17:K17" si="0">SUM(G10:G16)</f>
        <v>22996936</v>
      </c>
      <c r="H17" s="53">
        <f t="shared" si="0"/>
        <v>19185779</v>
      </c>
      <c r="I17" s="53">
        <f t="shared" si="0"/>
        <v>17621132</v>
      </c>
      <c r="J17" s="53">
        <f t="shared" si="0"/>
        <v>16971132</v>
      </c>
      <c r="K17" s="53">
        <f t="shared" si="0"/>
        <v>16861699</v>
      </c>
      <c r="L17" s="34"/>
      <c r="M17" s="34"/>
      <c r="N17" s="53"/>
      <c r="O17" s="53">
        <f>SUM(O10:O16)</f>
        <v>20133075</v>
      </c>
      <c r="P17" s="53">
        <f>SUM(P10:P16)</f>
        <v>16222041</v>
      </c>
      <c r="Q17" s="53">
        <f>SUM(Q10:Q16)</f>
        <v>17069055</v>
      </c>
      <c r="R17" s="53">
        <f t="shared" ref="R17:T17" si="1">SUM(R10:R16)</f>
        <v>15132793</v>
      </c>
      <c r="S17" s="53">
        <f t="shared" si="1"/>
        <v>14045690</v>
      </c>
      <c r="T17" s="53">
        <f t="shared" si="1"/>
        <v>11530141</v>
      </c>
    </row>
    <row r="18" spans="1:20" outlineLevel="2">
      <c r="A18" s="34"/>
      <c r="B18" s="49"/>
      <c r="N18" s="54"/>
      <c r="O18" s="54"/>
      <c r="P18" s="54"/>
      <c r="Q18" s="54"/>
    </row>
    <row r="19" spans="1:20" ht="15.75" outlineLevel="1" thickBot="1">
      <c r="A19" s="46" t="s">
        <v>25</v>
      </c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</row>
    <row r="20" spans="1:20" outlineLevel="2">
      <c r="A20" s="34"/>
      <c r="B20" s="49">
        <v>100</v>
      </c>
      <c r="C20" s="50" t="s">
        <v>16</v>
      </c>
      <c r="E20" s="23">
        <f>138550+63874</f>
        <v>202424</v>
      </c>
      <c r="F20" s="20">
        <f>138550+63874+120000</f>
        <v>322424</v>
      </c>
      <c r="G20" s="20">
        <f>138550+63874</f>
        <v>202424</v>
      </c>
      <c r="H20" s="20">
        <v>230886</v>
      </c>
      <c r="I20" s="20">
        <f>224100+9816*0</f>
        <v>224100</v>
      </c>
      <c r="J20" s="20">
        <v>169948</v>
      </c>
      <c r="K20" s="20">
        <v>56160</v>
      </c>
      <c r="N20" s="20"/>
      <c r="O20" s="20">
        <v>202424</v>
      </c>
      <c r="P20" s="20">
        <f>137987+63874</f>
        <v>201861</v>
      </c>
      <c r="Q20" s="20">
        <v>227983</v>
      </c>
      <c r="R20" s="20">
        <v>208176</v>
      </c>
      <c r="S20" s="20">
        <v>169948</v>
      </c>
      <c r="T20" s="20">
        <v>56160</v>
      </c>
    </row>
    <row r="21" spans="1:20" outlineLevel="2">
      <c r="A21" s="34"/>
      <c r="B21" s="49">
        <v>200</v>
      </c>
      <c r="C21" s="50" t="s">
        <v>17</v>
      </c>
      <c r="E21" s="23">
        <v>30000</v>
      </c>
      <c r="F21" s="23">
        <f>30000+850000</f>
        <v>880000</v>
      </c>
      <c r="G21" s="23">
        <v>30000</v>
      </c>
      <c r="H21" s="23">
        <v>0</v>
      </c>
      <c r="I21" s="23">
        <v>86400</v>
      </c>
      <c r="J21" s="23">
        <v>66400</v>
      </c>
      <c r="K21" s="23">
        <v>0</v>
      </c>
      <c r="N21" s="23"/>
      <c r="O21" s="23">
        <v>29000</v>
      </c>
      <c r="P21" s="23">
        <v>30000</v>
      </c>
      <c r="Q21" s="23">
        <v>0</v>
      </c>
      <c r="R21" s="23">
        <v>0</v>
      </c>
      <c r="S21" s="23">
        <v>0</v>
      </c>
      <c r="T21" s="23">
        <v>0</v>
      </c>
    </row>
    <row r="22" spans="1:20" outlineLevel="2">
      <c r="A22" s="34"/>
      <c r="B22" s="49">
        <v>300</v>
      </c>
      <c r="C22" s="50" t="s">
        <v>19</v>
      </c>
      <c r="E22" s="23"/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N22" s="23"/>
      <c r="O22" s="23"/>
      <c r="P22" s="23"/>
      <c r="Q22" s="23">
        <v>0</v>
      </c>
      <c r="R22" s="23">
        <v>0</v>
      </c>
      <c r="S22" s="23">
        <v>0</v>
      </c>
      <c r="T22" s="23">
        <v>0</v>
      </c>
    </row>
    <row r="23" spans="1:20" outlineLevel="2">
      <c r="A23" s="34"/>
      <c r="B23" s="49">
        <v>400</v>
      </c>
      <c r="C23" s="50" t="s">
        <v>20</v>
      </c>
      <c r="E23" s="23"/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N23" s="23"/>
      <c r="O23" s="23"/>
      <c r="P23" s="23"/>
      <c r="Q23" s="23">
        <v>0</v>
      </c>
      <c r="R23" s="23">
        <v>0</v>
      </c>
      <c r="S23" s="23">
        <v>0</v>
      </c>
      <c r="T23" s="23">
        <v>0</v>
      </c>
    </row>
    <row r="24" spans="1:20" outlineLevel="2">
      <c r="A24" s="34"/>
      <c r="B24" s="49">
        <v>500</v>
      </c>
      <c r="C24" s="50" t="s">
        <v>21</v>
      </c>
      <c r="E24" s="23"/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N24" s="23"/>
      <c r="O24" s="23"/>
      <c r="P24" s="23">
        <v>0</v>
      </c>
      <c r="Q24" s="23">
        <v>0</v>
      </c>
      <c r="R24" s="23">
        <v>0</v>
      </c>
      <c r="S24" s="23">
        <v>0</v>
      </c>
      <c r="T24" s="23">
        <v>0</v>
      </c>
    </row>
    <row r="25" spans="1:20" outlineLevel="2">
      <c r="A25" s="34"/>
      <c r="B25" s="49">
        <v>800</v>
      </c>
      <c r="C25" s="50" t="s">
        <v>5</v>
      </c>
      <c r="E25" s="23"/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N25" s="23"/>
      <c r="O25" s="23"/>
      <c r="P25" s="23">
        <v>0</v>
      </c>
      <c r="Q25" s="23">
        <v>0</v>
      </c>
      <c r="R25" s="23">
        <v>0</v>
      </c>
      <c r="S25" s="23">
        <v>0</v>
      </c>
      <c r="T25" s="23">
        <v>0</v>
      </c>
    </row>
    <row r="26" spans="1:20" ht="6" customHeight="1" outlineLevel="2">
      <c r="A26" s="34"/>
      <c r="B26" s="49"/>
      <c r="O26" s="63"/>
      <c r="P26" s="63"/>
      <c r="Q26" s="63"/>
      <c r="R26" s="63"/>
      <c r="S26" s="63"/>
      <c r="T26" s="63"/>
    </row>
    <row r="27" spans="1:20" outlineLevel="2">
      <c r="A27" s="52" t="str">
        <f>"Subtotal "&amp;A19</f>
        <v>Subtotal Mayor's Office of Transportation &amp; Utilities and Office of Sustainability</v>
      </c>
      <c r="B27" s="34"/>
      <c r="C27" s="34"/>
      <c r="E27" s="53">
        <f>SUM(E20:E26)</f>
        <v>232424</v>
      </c>
      <c r="F27" s="53">
        <f>SUM(F20:F26)</f>
        <v>1202424</v>
      </c>
      <c r="G27" s="53">
        <f t="shared" ref="G27:K27" si="2">SUM(G20:G26)</f>
        <v>232424</v>
      </c>
      <c r="H27" s="53">
        <f t="shared" si="2"/>
        <v>230886</v>
      </c>
      <c r="I27" s="53">
        <f t="shared" si="2"/>
        <v>310500</v>
      </c>
      <c r="J27" s="53">
        <f t="shared" si="2"/>
        <v>236348</v>
      </c>
      <c r="K27" s="53">
        <f t="shared" si="2"/>
        <v>56160</v>
      </c>
      <c r="L27" s="34"/>
      <c r="M27" s="34"/>
      <c r="N27" s="53"/>
      <c r="O27" s="53">
        <f>SUM(O20:O26)</f>
        <v>231424</v>
      </c>
      <c r="P27" s="53">
        <f>SUM(P20:P26)</f>
        <v>231861</v>
      </c>
      <c r="Q27" s="53">
        <f>SUM(Q20:Q26)</f>
        <v>227983</v>
      </c>
      <c r="R27" s="53">
        <f t="shared" ref="R27:T27" si="3">SUM(R20:R26)</f>
        <v>208176</v>
      </c>
      <c r="S27" s="53">
        <f t="shared" si="3"/>
        <v>169948</v>
      </c>
      <c r="T27" s="53">
        <f t="shared" si="3"/>
        <v>56160</v>
      </c>
    </row>
    <row r="28" spans="1:20" outlineLevel="2">
      <c r="A28" s="34"/>
      <c r="B28" s="34"/>
      <c r="C28" s="34"/>
    </row>
    <row r="29" spans="1:20" ht="15.75" outlineLevel="1" thickBot="1">
      <c r="A29" s="46" t="s">
        <v>26</v>
      </c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</row>
    <row r="30" spans="1:20" outlineLevel="2">
      <c r="A30" s="34"/>
      <c r="B30" s="49">
        <v>100</v>
      </c>
      <c r="C30" s="50" t="s">
        <v>16</v>
      </c>
      <c r="E30" s="20">
        <v>120000</v>
      </c>
      <c r="F30" s="20">
        <v>120000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N30" s="20"/>
      <c r="O30" s="20">
        <v>3800</v>
      </c>
      <c r="P30" s="20">
        <v>0</v>
      </c>
      <c r="Q30" s="20"/>
      <c r="R30" s="20">
        <v>0</v>
      </c>
      <c r="S30" s="20">
        <v>0</v>
      </c>
      <c r="T30" s="20">
        <v>0</v>
      </c>
    </row>
    <row r="31" spans="1:20" outlineLevel="2">
      <c r="A31" s="34"/>
      <c r="B31" s="49">
        <v>200</v>
      </c>
      <c r="C31" s="50" t="s">
        <v>17</v>
      </c>
      <c r="E31" s="20">
        <v>850000</v>
      </c>
      <c r="F31" s="23">
        <v>850000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N31" s="23"/>
      <c r="O31" s="23">
        <v>95851</v>
      </c>
      <c r="P31" s="23">
        <v>0</v>
      </c>
      <c r="Q31" s="23"/>
      <c r="R31" s="23">
        <v>0</v>
      </c>
      <c r="S31" s="23">
        <v>0</v>
      </c>
      <c r="T31" s="23">
        <v>0</v>
      </c>
    </row>
    <row r="32" spans="1:20" outlineLevel="2">
      <c r="A32" s="34"/>
      <c r="B32" s="49">
        <v>300</v>
      </c>
      <c r="C32" s="50" t="s">
        <v>19</v>
      </c>
      <c r="E32" s="20"/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N32" s="23"/>
      <c r="O32" s="23"/>
      <c r="P32" s="23">
        <v>0</v>
      </c>
      <c r="Q32" s="23">
        <v>0</v>
      </c>
      <c r="R32" s="23">
        <v>0</v>
      </c>
      <c r="S32" s="23">
        <v>0</v>
      </c>
      <c r="T32" s="23">
        <v>0</v>
      </c>
    </row>
    <row r="33" spans="1:20" outlineLevel="2">
      <c r="A33" s="34"/>
      <c r="B33" s="49">
        <v>400</v>
      </c>
      <c r="C33" s="50" t="s">
        <v>20</v>
      </c>
      <c r="E33" s="20"/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N33" s="23"/>
      <c r="O33" s="23"/>
      <c r="P33" s="23">
        <v>0</v>
      </c>
      <c r="Q33" s="23">
        <v>0</v>
      </c>
      <c r="R33" s="23">
        <v>0</v>
      </c>
      <c r="S33" s="23">
        <v>0</v>
      </c>
      <c r="T33" s="23">
        <v>0</v>
      </c>
    </row>
    <row r="34" spans="1:20" outlineLevel="2">
      <c r="A34" s="34"/>
      <c r="B34" s="49">
        <v>500</v>
      </c>
      <c r="C34" s="50" t="s">
        <v>21</v>
      </c>
      <c r="E34" s="20"/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N34" s="23"/>
      <c r="O34" s="23"/>
      <c r="P34" s="23">
        <v>0</v>
      </c>
      <c r="Q34" s="23">
        <v>0</v>
      </c>
      <c r="R34" s="23">
        <v>0</v>
      </c>
      <c r="S34" s="23">
        <v>0</v>
      </c>
      <c r="T34" s="23">
        <v>0</v>
      </c>
    </row>
    <row r="35" spans="1:20" outlineLevel="2">
      <c r="A35" s="34"/>
      <c r="B35" s="49">
        <v>800</v>
      </c>
      <c r="C35" s="50" t="s">
        <v>5</v>
      </c>
      <c r="E35" s="20"/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N35" s="23"/>
      <c r="O35" s="23"/>
      <c r="P35" s="23">
        <v>0</v>
      </c>
      <c r="Q35" s="23">
        <v>0</v>
      </c>
      <c r="R35" s="23">
        <v>0</v>
      </c>
      <c r="S35" s="23">
        <v>0</v>
      </c>
      <c r="T35" s="23">
        <v>0</v>
      </c>
    </row>
    <row r="36" spans="1:20" ht="6" customHeight="1" outlineLevel="2">
      <c r="A36" s="34"/>
      <c r="B36" s="49"/>
    </row>
    <row r="37" spans="1:20" outlineLevel="2">
      <c r="A37" s="52" t="str">
        <f>"Subtotal "&amp;A29</f>
        <v>Subtotal Philadelphia Water, Sewer and Stormwater Rate Board</v>
      </c>
      <c r="B37" s="49"/>
      <c r="C37" s="34"/>
      <c r="E37" s="53">
        <f>SUM(E30:E36)</f>
        <v>970000</v>
      </c>
      <c r="F37" s="53">
        <f>SUM(F30:F36)</f>
        <v>970000</v>
      </c>
      <c r="G37" s="53">
        <f t="shared" ref="G37:K37" si="4">SUM(G30:G36)</f>
        <v>0</v>
      </c>
      <c r="H37" s="53">
        <f t="shared" si="4"/>
        <v>0</v>
      </c>
      <c r="I37" s="53">
        <f t="shared" si="4"/>
        <v>0</v>
      </c>
      <c r="J37" s="53">
        <f t="shared" si="4"/>
        <v>0</v>
      </c>
      <c r="K37" s="53">
        <f t="shared" si="4"/>
        <v>0</v>
      </c>
      <c r="L37" s="34"/>
      <c r="M37" s="34"/>
      <c r="N37" s="53"/>
      <c r="O37" s="53">
        <f>SUM(O30:O36)</f>
        <v>99651</v>
      </c>
      <c r="P37" s="53">
        <f>SUM(P30:P36)</f>
        <v>0</v>
      </c>
      <c r="Q37" s="53">
        <f>SUM(Q30:Q36)</f>
        <v>0</v>
      </c>
      <c r="R37" s="53">
        <f t="shared" ref="R37:T37" si="5">SUM(R30:R36)</f>
        <v>0</v>
      </c>
      <c r="S37" s="53">
        <f t="shared" si="5"/>
        <v>0</v>
      </c>
      <c r="T37" s="53">
        <f t="shared" si="5"/>
        <v>0</v>
      </c>
    </row>
    <row r="38" spans="1:20" outlineLevel="2">
      <c r="B38" s="51"/>
    </row>
    <row r="39" spans="1:20" ht="15.75" outlineLevel="1" thickBot="1">
      <c r="A39" s="46" t="s">
        <v>27</v>
      </c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</row>
    <row r="40" spans="1:20" outlineLevel="2">
      <c r="A40" s="34"/>
      <c r="B40" s="49">
        <v>100</v>
      </c>
      <c r="C40" s="50" t="s">
        <v>16</v>
      </c>
      <c r="E40" s="23"/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N40" s="20"/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</row>
    <row r="41" spans="1:20" outlineLevel="2">
      <c r="A41" s="34"/>
      <c r="B41" s="49">
        <v>200</v>
      </c>
      <c r="C41" s="50" t="s">
        <v>17</v>
      </c>
      <c r="E41" s="23">
        <v>4256817</v>
      </c>
      <c r="F41" s="23">
        <v>4042633</v>
      </c>
      <c r="G41" s="23">
        <v>4042633</v>
      </c>
      <c r="H41" s="23">
        <v>3959919</v>
      </c>
      <c r="I41" s="23">
        <v>3786428</v>
      </c>
      <c r="J41" s="23">
        <v>3739360</v>
      </c>
      <c r="K41" s="23">
        <v>3739360</v>
      </c>
      <c r="N41" s="23"/>
      <c r="O41" s="23">
        <v>4042633</v>
      </c>
      <c r="P41" s="23">
        <v>4042633</v>
      </c>
      <c r="Q41" s="23">
        <v>3959919</v>
      </c>
      <c r="R41" s="23">
        <v>3786428</v>
      </c>
      <c r="S41" s="23">
        <v>3739360</v>
      </c>
      <c r="T41" s="23">
        <v>3725560</v>
      </c>
    </row>
    <row r="42" spans="1:20" outlineLevel="2">
      <c r="A42" s="34"/>
      <c r="B42" s="49">
        <v>300</v>
      </c>
      <c r="C42" s="50" t="s">
        <v>19</v>
      </c>
      <c r="E42" s="23"/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N42" s="23"/>
      <c r="O42" s="23"/>
      <c r="P42" s="23">
        <v>0</v>
      </c>
      <c r="Q42" s="23">
        <v>0</v>
      </c>
      <c r="R42" s="23">
        <v>0</v>
      </c>
      <c r="S42" s="23">
        <v>0</v>
      </c>
      <c r="T42" s="23">
        <v>0</v>
      </c>
    </row>
    <row r="43" spans="1:20" outlineLevel="2">
      <c r="A43" s="34"/>
      <c r="B43" s="49">
        <v>400</v>
      </c>
      <c r="C43" s="50" t="s">
        <v>20</v>
      </c>
      <c r="E43" s="23"/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N43" s="23"/>
      <c r="O43" s="23"/>
      <c r="P43" s="23">
        <v>0</v>
      </c>
      <c r="Q43" s="23">
        <v>0</v>
      </c>
      <c r="R43" s="23">
        <v>0</v>
      </c>
      <c r="S43" s="23">
        <v>0</v>
      </c>
      <c r="T43" s="23">
        <v>0</v>
      </c>
    </row>
    <row r="44" spans="1:20" outlineLevel="2">
      <c r="A44" s="34"/>
      <c r="B44" s="49">
        <v>500</v>
      </c>
      <c r="C44" s="50" t="s">
        <v>21</v>
      </c>
      <c r="E44" s="23"/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N44" s="23"/>
      <c r="O44" s="23"/>
      <c r="P44" s="23">
        <v>0</v>
      </c>
      <c r="Q44" s="23">
        <v>0</v>
      </c>
      <c r="R44" s="23">
        <v>0</v>
      </c>
      <c r="S44" s="23">
        <v>0</v>
      </c>
      <c r="T44" s="23">
        <v>0</v>
      </c>
    </row>
    <row r="45" spans="1:20" outlineLevel="2">
      <c r="A45" s="34"/>
      <c r="B45" s="49">
        <v>800</v>
      </c>
      <c r="C45" s="50" t="s">
        <v>5</v>
      </c>
      <c r="E45" s="23"/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N45" s="23"/>
      <c r="O45" s="23"/>
      <c r="P45" s="23">
        <v>0</v>
      </c>
      <c r="Q45" s="23">
        <v>0</v>
      </c>
      <c r="R45" s="23">
        <v>0</v>
      </c>
      <c r="S45" s="23">
        <v>0</v>
      </c>
      <c r="T45" s="23">
        <v>0</v>
      </c>
    </row>
    <row r="46" spans="1:20" ht="6" customHeight="1" outlineLevel="2">
      <c r="A46" s="34"/>
      <c r="B46" s="49"/>
    </row>
    <row r="47" spans="1:20" outlineLevel="2">
      <c r="A47" s="52" t="str">
        <f>"Subtotal "&amp;A39</f>
        <v>Subtotal Public Property</v>
      </c>
      <c r="B47" s="49"/>
      <c r="C47" s="34"/>
      <c r="E47" s="53">
        <f>SUM(E40:E46)</f>
        <v>4256817</v>
      </c>
      <c r="F47" s="53">
        <f>SUM(F40:F46)</f>
        <v>4042633</v>
      </c>
      <c r="G47" s="53">
        <f t="shared" ref="G47:K47" si="6">SUM(G40:G46)</f>
        <v>4042633</v>
      </c>
      <c r="H47" s="53">
        <f t="shared" si="6"/>
        <v>3959919</v>
      </c>
      <c r="I47" s="53">
        <f t="shared" si="6"/>
        <v>3786428</v>
      </c>
      <c r="J47" s="53">
        <f t="shared" si="6"/>
        <v>3739360</v>
      </c>
      <c r="K47" s="53">
        <f t="shared" si="6"/>
        <v>3739360</v>
      </c>
      <c r="L47" s="34"/>
      <c r="M47" s="34"/>
      <c r="N47" s="53"/>
      <c r="O47" s="53">
        <f>SUM(O40:O46)</f>
        <v>4042633</v>
      </c>
      <c r="P47" s="53">
        <f>SUM(P40:P46)</f>
        <v>4042633</v>
      </c>
      <c r="Q47" s="53">
        <f>SUM(Q40:Q46)</f>
        <v>3959919</v>
      </c>
      <c r="R47" s="53">
        <f t="shared" ref="R47:T47" si="7">SUM(R40:R46)</f>
        <v>3786428</v>
      </c>
      <c r="S47" s="53">
        <f t="shared" si="7"/>
        <v>3739360</v>
      </c>
      <c r="T47" s="53">
        <f t="shared" si="7"/>
        <v>3725560</v>
      </c>
    </row>
    <row r="48" spans="1:20" outlineLevel="2">
      <c r="B48" s="51"/>
    </row>
    <row r="49" spans="1:20" ht="15.75" outlineLevel="1" thickBot="1">
      <c r="A49" s="46" t="s">
        <v>28</v>
      </c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</row>
    <row r="50" spans="1:20" outlineLevel="2">
      <c r="A50" s="34"/>
      <c r="B50" s="49">
        <v>100</v>
      </c>
      <c r="C50" s="50" t="s">
        <v>16</v>
      </c>
      <c r="E50" s="20">
        <v>3062196</v>
      </c>
      <c r="F50" s="20">
        <f>2969317+92879</f>
        <v>3062196</v>
      </c>
      <c r="G50" s="20">
        <v>2969317</v>
      </c>
      <c r="H50" s="20">
        <v>2969317</v>
      </c>
      <c r="I50" s="20">
        <f>2745986+120281*0</f>
        <v>2745986</v>
      </c>
      <c r="J50" s="20">
        <v>2745986</v>
      </c>
      <c r="K50" s="20">
        <v>2745986</v>
      </c>
      <c r="N50" s="20"/>
      <c r="O50" s="20">
        <v>2925816</v>
      </c>
      <c r="P50" s="20">
        <v>2526922</v>
      </c>
      <c r="Q50" s="20">
        <v>2602612</v>
      </c>
      <c r="R50" s="20">
        <v>2521284</v>
      </c>
      <c r="S50" s="20">
        <v>2554406</v>
      </c>
      <c r="T50" s="20">
        <v>2387074</v>
      </c>
    </row>
    <row r="51" spans="1:20" outlineLevel="2">
      <c r="A51" s="34"/>
      <c r="B51" s="49">
        <v>200</v>
      </c>
      <c r="C51" s="50" t="s">
        <v>17</v>
      </c>
      <c r="E51" s="20">
        <v>1489000</v>
      </c>
      <c r="F51" s="23">
        <v>1489000</v>
      </c>
      <c r="G51" s="23">
        <v>1489000</v>
      </c>
      <c r="H51" s="23">
        <v>1489000</v>
      </c>
      <c r="I51" s="23">
        <v>1489000</v>
      </c>
      <c r="J51" s="23">
        <v>1489000</v>
      </c>
      <c r="K51" s="23">
        <v>1489000</v>
      </c>
      <c r="N51" s="23"/>
      <c r="O51" s="23">
        <v>1417465</v>
      </c>
      <c r="P51" s="23">
        <v>1469209</v>
      </c>
      <c r="Q51" s="23">
        <v>1488271</v>
      </c>
      <c r="R51" s="23">
        <v>1438785</v>
      </c>
      <c r="S51" s="23">
        <v>894932</v>
      </c>
      <c r="T51" s="23">
        <v>1256788</v>
      </c>
    </row>
    <row r="52" spans="1:20" outlineLevel="2">
      <c r="A52" s="34"/>
      <c r="B52" s="49">
        <v>300</v>
      </c>
      <c r="C52" s="50" t="s">
        <v>19</v>
      </c>
      <c r="E52" s="20">
        <f>4214640+60000</f>
        <v>4274640</v>
      </c>
      <c r="F52" s="23">
        <v>4274640</v>
      </c>
      <c r="G52" s="23">
        <v>4274640</v>
      </c>
      <c r="H52" s="23">
        <v>4274640</v>
      </c>
      <c r="I52" s="23">
        <v>4274640</v>
      </c>
      <c r="J52" s="23">
        <v>4274640</v>
      </c>
      <c r="K52" s="23">
        <v>4274640</v>
      </c>
      <c r="N52" s="23"/>
      <c r="O52" s="23">
        <v>3412351</v>
      </c>
      <c r="P52" s="23">
        <v>3875181</v>
      </c>
      <c r="Q52" s="23">
        <v>4232497</v>
      </c>
      <c r="R52" s="23">
        <v>4225827</v>
      </c>
      <c r="S52" s="23">
        <v>3769562</v>
      </c>
      <c r="T52" s="23">
        <v>3958404</v>
      </c>
    </row>
    <row r="53" spans="1:20" outlineLevel="2">
      <c r="A53" s="34"/>
      <c r="B53" s="49">
        <v>400</v>
      </c>
      <c r="C53" s="50" t="s">
        <v>20</v>
      </c>
      <c r="E53" s="20"/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N53" s="23"/>
      <c r="O53" s="23"/>
      <c r="P53" s="23"/>
      <c r="Q53" s="23">
        <v>0</v>
      </c>
      <c r="R53" s="23">
        <v>0</v>
      </c>
      <c r="S53" s="23">
        <v>0</v>
      </c>
      <c r="T53" s="23">
        <v>0</v>
      </c>
    </row>
    <row r="54" spans="1:20" outlineLevel="2">
      <c r="A54" s="34"/>
      <c r="B54" s="49">
        <v>500</v>
      </c>
      <c r="C54" s="50" t="s">
        <v>21</v>
      </c>
      <c r="E54" s="20"/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N54" s="23"/>
      <c r="O54" s="23"/>
      <c r="P54" s="23">
        <v>0</v>
      </c>
      <c r="Q54" s="23">
        <v>0</v>
      </c>
      <c r="R54" s="23">
        <v>0</v>
      </c>
      <c r="S54" s="23">
        <v>0</v>
      </c>
      <c r="T54" s="23">
        <v>0</v>
      </c>
    </row>
    <row r="55" spans="1:20" outlineLevel="2">
      <c r="A55" s="34"/>
      <c r="B55" s="49">
        <v>800</v>
      </c>
      <c r="C55" s="50" t="s">
        <v>5</v>
      </c>
      <c r="E55" s="20"/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N55" s="23"/>
      <c r="O55" s="23"/>
      <c r="P55" s="23">
        <v>0</v>
      </c>
      <c r="Q55" s="23">
        <v>0</v>
      </c>
      <c r="R55" s="23">
        <v>0</v>
      </c>
      <c r="S55" s="23">
        <v>0</v>
      </c>
      <c r="T55" s="23">
        <v>0</v>
      </c>
    </row>
    <row r="56" spans="1:20" ht="6" customHeight="1" outlineLevel="2">
      <c r="A56" s="34"/>
      <c r="B56" s="49"/>
    </row>
    <row r="57" spans="1:20" outlineLevel="2">
      <c r="A57" s="52" t="str">
        <f>"Subtotal "&amp;A49</f>
        <v>Subtotal Fleet Management</v>
      </c>
      <c r="B57" s="49"/>
      <c r="C57" s="34"/>
      <c r="E57" s="53">
        <f>SUM(E50:E56)</f>
        <v>8825836</v>
      </c>
      <c r="F57" s="53">
        <f>SUM(F50:F56)</f>
        <v>8825836</v>
      </c>
      <c r="G57" s="53">
        <f t="shared" ref="G57:K57" si="8">SUM(G50:G56)</f>
        <v>8732957</v>
      </c>
      <c r="H57" s="53">
        <f t="shared" si="8"/>
        <v>8732957</v>
      </c>
      <c r="I57" s="53">
        <f t="shared" si="8"/>
        <v>8509626</v>
      </c>
      <c r="J57" s="53">
        <f t="shared" si="8"/>
        <v>8509626</v>
      </c>
      <c r="K57" s="53">
        <f t="shared" si="8"/>
        <v>8509626</v>
      </c>
      <c r="L57" s="34"/>
      <c r="M57" s="34"/>
      <c r="N57" s="53"/>
      <c r="O57" s="53">
        <f>SUM(O50:O56)</f>
        <v>7755632</v>
      </c>
      <c r="P57" s="53">
        <f>SUM(P50:P56)</f>
        <v>7871312</v>
      </c>
      <c r="Q57" s="53">
        <f>SUM(Q50:Q56)</f>
        <v>8323380</v>
      </c>
      <c r="R57" s="53">
        <f t="shared" ref="R57:T57" si="9">SUM(R50:R56)</f>
        <v>8185896</v>
      </c>
      <c r="S57" s="53">
        <f t="shared" si="9"/>
        <v>7218900</v>
      </c>
      <c r="T57" s="53">
        <f t="shared" si="9"/>
        <v>7602266</v>
      </c>
    </row>
    <row r="58" spans="1:20" outlineLevel="2">
      <c r="B58" s="51"/>
      <c r="N58" s="54"/>
      <c r="O58" s="54"/>
      <c r="P58" s="54"/>
      <c r="Q58" s="54"/>
    </row>
    <row r="59" spans="1:20" ht="15.75" outlineLevel="1" thickBot="1">
      <c r="A59" s="46" t="s">
        <v>29</v>
      </c>
      <c r="B59" s="46"/>
      <c r="C59" s="47"/>
      <c r="D59" s="47"/>
      <c r="E59" s="47"/>
      <c r="F59" s="47"/>
      <c r="G59" s="47"/>
      <c r="H59" s="55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spans="1:20" outlineLevel="2">
      <c r="A60" s="34"/>
      <c r="B60" s="49">
        <v>100</v>
      </c>
      <c r="C60" s="50" t="s">
        <v>16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N60" s="20"/>
      <c r="O60" s="20" t="s">
        <v>49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</row>
    <row r="61" spans="1:20" outlineLevel="2">
      <c r="A61" s="34"/>
      <c r="B61" s="49" t="s">
        <v>30</v>
      </c>
      <c r="C61" s="50" t="s">
        <v>45</v>
      </c>
      <c r="E61" s="23">
        <v>55005283</v>
      </c>
      <c r="F61" s="23">
        <v>53765209</v>
      </c>
      <c r="G61" s="23">
        <v>53115262</v>
      </c>
      <c r="H61" s="23">
        <v>53120209</v>
      </c>
      <c r="I61" s="23">
        <v>43330000</v>
      </c>
      <c r="J61" s="23">
        <v>43130000</v>
      </c>
      <c r="K61" s="23">
        <v>43130000</v>
      </c>
      <c r="N61" s="23"/>
      <c r="O61" s="23">
        <v>52651923</v>
      </c>
      <c r="P61" s="23">
        <v>47276002</v>
      </c>
      <c r="Q61" s="23">
        <v>48293131</v>
      </c>
      <c r="R61" s="23">
        <v>41044343.580000021</v>
      </c>
      <c r="S61" s="23">
        <v>40369391.12000002</v>
      </c>
      <c r="T61" s="23">
        <v>38395202.490000002</v>
      </c>
    </row>
    <row r="62" spans="1:20" outlineLevel="2">
      <c r="A62" s="34"/>
      <c r="B62" s="49">
        <v>191</v>
      </c>
      <c r="C62" s="50" t="s">
        <v>31</v>
      </c>
      <c r="E62" s="23">
        <v>54652000</v>
      </c>
      <c r="F62" s="23">
        <v>52384383</v>
      </c>
      <c r="G62" s="23">
        <f>45700000*0+46529000</f>
        <v>46529000</v>
      </c>
      <c r="H62" s="23">
        <v>42000000</v>
      </c>
      <c r="I62" s="23">
        <v>48800000</v>
      </c>
      <c r="J62" s="23">
        <v>46638000</v>
      </c>
      <c r="K62" s="23">
        <v>43106000</v>
      </c>
      <c r="N62" s="23"/>
      <c r="O62" s="23">
        <v>55552438</v>
      </c>
      <c r="P62" s="23">
        <v>46646526</v>
      </c>
      <c r="Q62" s="23">
        <v>40861335</v>
      </c>
      <c r="R62" s="23">
        <v>38305051.789999999</v>
      </c>
      <c r="S62" s="23">
        <v>35507146.670000002</v>
      </c>
      <c r="T62" s="23">
        <v>38770167.119999997</v>
      </c>
    </row>
    <row r="63" spans="1:20" outlineLevel="2">
      <c r="A63" s="34"/>
      <c r="B63" s="49">
        <v>190</v>
      </c>
      <c r="C63" s="50" t="s">
        <v>32</v>
      </c>
      <c r="E63" s="23">
        <v>12475000</v>
      </c>
      <c r="F63" s="23">
        <v>12093775</v>
      </c>
      <c r="G63" s="23">
        <v>12100000</v>
      </c>
      <c r="H63" s="23">
        <v>11700000</v>
      </c>
      <c r="I63" s="23">
        <v>10400000</v>
      </c>
      <c r="J63" s="23">
        <v>9430000</v>
      </c>
      <c r="K63" s="23">
        <v>9566000</v>
      </c>
      <c r="N63" s="23"/>
      <c r="O63" s="23">
        <v>13362362</v>
      </c>
      <c r="P63" s="23">
        <v>12468686</v>
      </c>
      <c r="Q63" s="23">
        <v>11415451</v>
      </c>
      <c r="R63" s="23">
        <v>22450402.66</v>
      </c>
      <c r="S63" s="23">
        <v>20452251.629999999</v>
      </c>
      <c r="T63" s="23">
        <v>9843047.5299999993</v>
      </c>
    </row>
    <row r="64" spans="1:20" outlineLevel="2">
      <c r="A64" s="34"/>
      <c r="B64" s="49">
        <v>200</v>
      </c>
      <c r="C64" s="50" t="s">
        <v>17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N64" s="23"/>
      <c r="O64" s="23"/>
      <c r="P64" s="23"/>
      <c r="Q64" s="23"/>
      <c r="R64" s="23"/>
      <c r="S64" s="23">
        <v>0</v>
      </c>
      <c r="T64" s="23">
        <v>0</v>
      </c>
    </row>
    <row r="65" spans="1:20" outlineLevel="2">
      <c r="A65" s="34"/>
      <c r="B65" s="49">
        <v>300</v>
      </c>
      <c r="C65" s="50" t="s">
        <v>19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N65" s="23"/>
      <c r="O65" s="23"/>
      <c r="P65" s="23"/>
      <c r="Q65" s="23"/>
      <c r="R65" s="23"/>
      <c r="S65" s="23">
        <v>0</v>
      </c>
      <c r="T65" s="23">
        <v>0</v>
      </c>
    </row>
    <row r="66" spans="1:20" outlineLevel="2">
      <c r="A66" s="34"/>
      <c r="B66" s="49">
        <v>400</v>
      </c>
      <c r="C66" s="50" t="s">
        <v>20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N66" s="23"/>
      <c r="O66" s="23"/>
      <c r="P66" s="23"/>
      <c r="Q66" s="23"/>
      <c r="R66" s="23"/>
      <c r="S66" s="23">
        <v>0</v>
      </c>
      <c r="T66" s="23">
        <v>0</v>
      </c>
    </row>
    <row r="67" spans="1:20" outlineLevel="2">
      <c r="A67" s="34"/>
      <c r="B67" s="49">
        <v>500</v>
      </c>
      <c r="C67" s="50" t="s">
        <v>21</v>
      </c>
      <c r="E67" s="20">
        <v>6500000</v>
      </c>
      <c r="F67" s="23">
        <v>6500000</v>
      </c>
      <c r="G67" s="23">
        <v>6500000</v>
      </c>
      <c r="H67" s="23">
        <v>6500000</v>
      </c>
      <c r="I67" s="23">
        <v>6500000</v>
      </c>
      <c r="J67" s="23">
        <v>6500000</v>
      </c>
      <c r="K67" s="23">
        <v>6500000</v>
      </c>
      <c r="N67" s="23"/>
      <c r="O67" s="23">
        <v>6952193</v>
      </c>
      <c r="P67" s="23">
        <v>5440242</v>
      </c>
      <c r="Q67" s="23">
        <v>3840767</v>
      </c>
      <c r="R67" s="23">
        <v>6036098</v>
      </c>
      <c r="S67" s="23">
        <v>5090210</v>
      </c>
      <c r="T67" s="23">
        <v>3046915</v>
      </c>
    </row>
    <row r="68" spans="1:20" outlineLevel="2">
      <c r="A68" s="34"/>
      <c r="B68" s="49">
        <v>800</v>
      </c>
      <c r="C68" s="50" t="s">
        <v>5</v>
      </c>
      <c r="E68" s="20"/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N68" s="23"/>
      <c r="O68" s="23"/>
      <c r="P68" s="23"/>
      <c r="Q68" s="23"/>
      <c r="R68" s="23"/>
      <c r="S68" s="23">
        <v>0</v>
      </c>
      <c r="T68" s="23">
        <v>0</v>
      </c>
    </row>
    <row r="69" spans="1:20" ht="6" customHeight="1" outlineLevel="2">
      <c r="A69" s="34"/>
      <c r="B69" s="49"/>
    </row>
    <row r="70" spans="1:20" outlineLevel="2">
      <c r="A70" s="52" t="str">
        <f>"Subtotal "&amp;A59</f>
        <v>Subtotal City Finance (020)</v>
      </c>
      <c r="B70" s="49"/>
      <c r="C70" s="34"/>
      <c r="E70" s="53">
        <f>SUM(E60:E69)</f>
        <v>128632283</v>
      </c>
      <c r="F70" s="53">
        <f>SUM(F60:F69)</f>
        <v>124743367</v>
      </c>
      <c r="G70" s="53">
        <f t="shared" ref="G70:K70" si="10">SUM(G60:G69)</f>
        <v>118244262</v>
      </c>
      <c r="H70" s="53">
        <f t="shared" si="10"/>
        <v>113320209</v>
      </c>
      <c r="I70" s="53">
        <f t="shared" si="10"/>
        <v>109030000</v>
      </c>
      <c r="J70" s="53">
        <f t="shared" si="10"/>
        <v>105698000</v>
      </c>
      <c r="K70" s="53">
        <f t="shared" si="10"/>
        <v>102302000</v>
      </c>
      <c r="L70" s="34"/>
      <c r="M70" s="34"/>
      <c r="N70" s="53"/>
      <c r="O70" s="53">
        <f>SUM(O60:O69)</f>
        <v>128518916</v>
      </c>
      <c r="P70" s="53">
        <f>SUM(P60:P69)</f>
        <v>111831456</v>
      </c>
      <c r="Q70" s="53">
        <f>SUM(Q60:Q69)</f>
        <v>104410684</v>
      </c>
      <c r="R70" s="53">
        <f t="shared" ref="R70:T70" si="11">SUM(R60:R69)</f>
        <v>107835896.03000002</v>
      </c>
      <c r="S70" s="53">
        <f t="shared" si="11"/>
        <v>101418999.42000002</v>
      </c>
      <c r="T70" s="53">
        <f t="shared" si="11"/>
        <v>90055332.140000001</v>
      </c>
    </row>
    <row r="71" spans="1:20" outlineLevel="2">
      <c r="B71" s="51"/>
    </row>
    <row r="72" spans="1:20" ht="15.75" outlineLevel="1" thickBot="1">
      <c r="A72" s="46" t="s">
        <v>33</v>
      </c>
      <c r="B72" s="46"/>
      <c r="C72" s="47"/>
      <c r="D72" s="47"/>
      <c r="E72" s="47"/>
      <c r="F72" s="47"/>
      <c r="G72" s="47"/>
      <c r="H72" s="55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</row>
    <row r="73" spans="1:20" outlineLevel="2">
      <c r="A73" s="34"/>
      <c r="B73" s="49">
        <v>100</v>
      </c>
      <c r="C73" s="50" t="s">
        <v>16</v>
      </c>
      <c r="E73" s="23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N73" s="20"/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</row>
    <row r="74" spans="1:20" outlineLevel="2">
      <c r="A74" s="34"/>
      <c r="B74" s="49" t="s">
        <v>34</v>
      </c>
      <c r="C74" s="50" t="s">
        <v>35</v>
      </c>
      <c r="E74" s="23">
        <v>6131000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N74" s="23"/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</row>
    <row r="75" spans="1:20" outlineLevel="2">
      <c r="A75" s="34"/>
      <c r="B75" s="49" t="s">
        <v>36</v>
      </c>
      <c r="C75" s="50" t="s">
        <v>37</v>
      </c>
      <c r="E75" s="23">
        <v>5846000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N75" s="23"/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</row>
    <row r="76" spans="1:20" outlineLevel="2">
      <c r="A76" s="34"/>
      <c r="B76" s="49" t="s">
        <v>38</v>
      </c>
      <c r="C76" s="50" t="s">
        <v>39</v>
      </c>
      <c r="E76" s="23">
        <v>1199000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N76" s="23"/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</row>
    <row r="77" spans="1:20" outlineLevel="2">
      <c r="A77" s="34"/>
      <c r="B77" s="49">
        <v>200</v>
      </c>
      <c r="C77" s="50" t="s">
        <v>17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N77" s="23"/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</row>
    <row r="78" spans="1:20" outlineLevel="2">
      <c r="A78" s="34"/>
      <c r="B78" s="49">
        <v>300</v>
      </c>
      <c r="C78" s="50" t="s">
        <v>19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N78" s="23"/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</row>
    <row r="79" spans="1:20" outlineLevel="2">
      <c r="A79" s="34"/>
      <c r="B79" s="49">
        <v>400</v>
      </c>
      <c r="C79" s="50" t="s">
        <v>20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N79" s="23"/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</row>
    <row r="80" spans="1:20" outlineLevel="2">
      <c r="A80" s="34"/>
      <c r="B80" s="49">
        <v>500</v>
      </c>
      <c r="C80" s="50" t="s">
        <v>21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N80" s="23"/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</row>
    <row r="81" spans="1:20" outlineLevel="2">
      <c r="A81" s="34"/>
      <c r="B81" s="49">
        <v>800</v>
      </c>
      <c r="C81" s="50" t="s">
        <v>5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N81" s="23"/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</row>
    <row r="82" spans="1:20" ht="6" customHeight="1" outlineLevel="2">
      <c r="A82" s="34"/>
      <c r="B82" s="49"/>
    </row>
    <row r="83" spans="1:20" outlineLevel="2">
      <c r="A83" s="52" t="str">
        <f>"Subtotal "&amp;A72</f>
        <v>Subtotal City Finance (270)</v>
      </c>
      <c r="B83" s="49"/>
      <c r="C83" s="34"/>
      <c r="E83" s="53">
        <f>SUM(E73:E82)</f>
        <v>13176000</v>
      </c>
      <c r="F83" s="53">
        <f>SUM(F73:F82)</f>
        <v>0</v>
      </c>
      <c r="G83" s="53">
        <f t="shared" ref="G83:K83" si="12">SUM(G73:G82)</f>
        <v>0</v>
      </c>
      <c r="H83" s="53">
        <f t="shared" si="12"/>
        <v>0</v>
      </c>
      <c r="I83" s="53">
        <f t="shared" si="12"/>
        <v>0</v>
      </c>
      <c r="J83" s="53">
        <f t="shared" si="12"/>
        <v>0</v>
      </c>
      <c r="K83" s="53">
        <f t="shared" si="12"/>
        <v>0</v>
      </c>
      <c r="L83" s="34"/>
      <c r="M83" s="34"/>
      <c r="N83" s="53"/>
      <c r="O83" s="53">
        <f>SUM(O73:O82)</f>
        <v>0</v>
      </c>
      <c r="P83" s="53">
        <f>SUM(P73:P82)</f>
        <v>0</v>
      </c>
      <c r="Q83" s="53">
        <f>SUM(Q73:Q82)</f>
        <v>0</v>
      </c>
      <c r="R83" s="53">
        <f t="shared" ref="R83:T83" si="13">SUM(R73:R82)</f>
        <v>0</v>
      </c>
      <c r="S83" s="53">
        <f t="shared" si="13"/>
        <v>0</v>
      </c>
      <c r="T83" s="53">
        <f t="shared" si="13"/>
        <v>0</v>
      </c>
    </row>
    <row r="84" spans="1:20" outlineLevel="2">
      <c r="B84" s="51"/>
    </row>
    <row r="85" spans="1:20" ht="15.75" outlineLevel="1" thickBot="1">
      <c r="A85" s="46" t="s">
        <v>40</v>
      </c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</row>
    <row r="86" spans="1:20" outlineLevel="2">
      <c r="A86" s="34"/>
      <c r="B86" s="49">
        <v>100</v>
      </c>
      <c r="C86" s="50" t="s">
        <v>16</v>
      </c>
      <c r="E86" s="20">
        <v>9759200</v>
      </c>
      <c r="F86" s="20">
        <f>11979473+308119</f>
        <v>12287592</v>
      </c>
      <c r="G86" s="20">
        <v>11138839</v>
      </c>
      <c r="H86" s="20">
        <v>11404254</v>
      </c>
      <c r="I86" s="20">
        <f>11188570+490089*0</f>
        <v>11188570</v>
      </c>
      <c r="J86" s="20">
        <v>10874716</v>
      </c>
      <c r="K86" s="20">
        <v>11092316</v>
      </c>
      <c r="N86" s="20"/>
      <c r="O86" s="20">
        <v>10844659</v>
      </c>
      <c r="P86" s="20">
        <v>9948364</v>
      </c>
      <c r="Q86" s="20">
        <v>10013594</v>
      </c>
      <c r="R86" s="20">
        <v>9701251</v>
      </c>
      <c r="S86" s="20">
        <v>10020393</v>
      </c>
      <c r="T86" s="20">
        <v>9729716</v>
      </c>
    </row>
    <row r="87" spans="1:20" outlineLevel="2">
      <c r="A87" s="34"/>
      <c r="B87" s="49">
        <v>200</v>
      </c>
      <c r="C87" s="50" t="s">
        <v>17</v>
      </c>
      <c r="E87" s="20">
        <v>5048100</v>
      </c>
      <c r="F87" s="23">
        <v>5072174</v>
      </c>
      <c r="G87" s="23">
        <v>4484480</v>
      </c>
      <c r="H87" s="23">
        <v>4244480</v>
      </c>
      <c r="I87" s="23">
        <v>4100780</v>
      </c>
      <c r="J87" s="23">
        <v>4022815</v>
      </c>
      <c r="K87" s="23">
        <v>3852510</v>
      </c>
      <c r="N87" s="23"/>
      <c r="O87" s="23">
        <v>4958726</v>
      </c>
      <c r="P87" s="23">
        <v>4477102</v>
      </c>
      <c r="Q87" s="23">
        <v>4241117</v>
      </c>
      <c r="R87" s="23">
        <v>4133603</v>
      </c>
      <c r="S87" s="23">
        <v>4020068</v>
      </c>
      <c r="T87" s="23">
        <v>3677818</v>
      </c>
    </row>
    <row r="88" spans="1:20" outlineLevel="2">
      <c r="A88" s="34"/>
      <c r="B88" s="49">
        <v>300</v>
      </c>
      <c r="C88" s="50" t="s">
        <v>19</v>
      </c>
      <c r="E88" s="20">
        <f>554850+873550</f>
        <v>1428400</v>
      </c>
      <c r="F88" s="23">
        <v>1434199</v>
      </c>
      <c r="G88" s="23">
        <f>514485+126435</f>
        <v>640920</v>
      </c>
      <c r="H88" s="23">
        <v>640920</v>
      </c>
      <c r="I88" s="23">
        <v>788120</v>
      </c>
      <c r="J88" s="23">
        <v>808425</v>
      </c>
      <c r="K88" s="23">
        <v>902800</v>
      </c>
      <c r="N88" s="23"/>
      <c r="O88" s="23">
        <v>831018</v>
      </c>
      <c r="P88" s="23">
        <v>594307</v>
      </c>
      <c r="Q88" s="23">
        <v>630784</v>
      </c>
      <c r="R88" s="23">
        <v>688157</v>
      </c>
      <c r="S88" s="23">
        <v>561421</v>
      </c>
      <c r="T88" s="23">
        <v>525300</v>
      </c>
    </row>
    <row r="89" spans="1:20" outlineLevel="2">
      <c r="A89" s="34"/>
      <c r="B89" s="49">
        <v>400</v>
      </c>
      <c r="C89" s="50" t="s">
        <v>20</v>
      </c>
      <c r="E89" s="20"/>
      <c r="F89" s="23"/>
      <c r="G89" s="23"/>
      <c r="H89" s="23">
        <v>0</v>
      </c>
      <c r="I89" s="23">
        <v>0</v>
      </c>
      <c r="J89" s="23">
        <v>0</v>
      </c>
      <c r="K89" s="23">
        <v>0</v>
      </c>
      <c r="N89" s="23"/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</row>
    <row r="90" spans="1:20" outlineLevel="2">
      <c r="A90" s="34"/>
      <c r="B90" s="49">
        <v>500</v>
      </c>
      <c r="C90" s="50" t="s">
        <v>21</v>
      </c>
      <c r="E90" s="20">
        <v>5000</v>
      </c>
      <c r="F90" s="23">
        <v>5000</v>
      </c>
      <c r="G90" s="23">
        <v>5000</v>
      </c>
      <c r="H90" s="23">
        <v>5000</v>
      </c>
      <c r="I90" s="23">
        <v>1500</v>
      </c>
      <c r="J90" s="23">
        <v>1500</v>
      </c>
      <c r="K90" s="23">
        <v>3000</v>
      </c>
      <c r="N90" s="23"/>
      <c r="O90" s="23">
        <v>120</v>
      </c>
      <c r="P90" s="23">
        <v>578</v>
      </c>
      <c r="Q90" s="23">
        <v>1273</v>
      </c>
      <c r="R90" s="23">
        <v>481</v>
      </c>
      <c r="S90" s="23">
        <v>170</v>
      </c>
      <c r="T90" s="23">
        <v>315</v>
      </c>
    </row>
    <row r="91" spans="1:20" outlineLevel="2">
      <c r="A91" s="34"/>
      <c r="B91" s="49">
        <v>800</v>
      </c>
      <c r="C91" s="50" t="s">
        <v>5</v>
      </c>
      <c r="E91" s="20"/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N91" s="23"/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</row>
    <row r="92" spans="1:20" ht="6" customHeight="1" outlineLevel="2">
      <c r="A92" s="34"/>
      <c r="B92" s="49"/>
    </row>
    <row r="93" spans="1:20" outlineLevel="2">
      <c r="A93" s="52" t="str">
        <f>"Subtotal "&amp;A85</f>
        <v>Subtotal Revenue</v>
      </c>
      <c r="B93" s="49"/>
      <c r="C93" s="34"/>
      <c r="E93" s="53">
        <f>SUM(E86:E92)</f>
        <v>16240700</v>
      </c>
      <c r="F93" s="53">
        <f>SUM(F86:F92)</f>
        <v>18798965</v>
      </c>
      <c r="G93" s="53">
        <f t="shared" ref="G93:K93" si="14">SUM(G86:G92)</f>
        <v>16269239</v>
      </c>
      <c r="H93" s="53">
        <f t="shared" si="14"/>
        <v>16294654</v>
      </c>
      <c r="I93" s="53">
        <f t="shared" si="14"/>
        <v>16078970</v>
      </c>
      <c r="J93" s="53">
        <f t="shared" si="14"/>
        <v>15707456</v>
      </c>
      <c r="K93" s="53">
        <f t="shared" si="14"/>
        <v>15850626</v>
      </c>
      <c r="L93" s="34"/>
      <c r="M93" s="34"/>
      <c r="N93" s="53"/>
      <c r="O93" s="53">
        <f>SUM(O86:O92)</f>
        <v>16634523</v>
      </c>
      <c r="P93" s="53">
        <f>SUM(P86:P92)</f>
        <v>15020351</v>
      </c>
      <c r="Q93" s="53">
        <f>SUM(Q86:Q92)</f>
        <v>14886768</v>
      </c>
      <c r="R93" s="53">
        <f t="shared" ref="R93:T93" si="15">SUM(R86:R92)</f>
        <v>14523492</v>
      </c>
      <c r="S93" s="53">
        <f t="shared" si="15"/>
        <v>14602052</v>
      </c>
      <c r="T93" s="53">
        <f t="shared" si="15"/>
        <v>13933149</v>
      </c>
    </row>
    <row r="94" spans="1:20" outlineLevel="2">
      <c r="B94" s="51"/>
      <c r="N94" s="54"/>
      <c r="O94" s="54" t="s">
        <v>41</v>
      </c>
      <c r="P94" s="54"/>
      <c r="Q94" s="54" t="s">
        <v>41</v>
      </c>
    </row>
    <row r="95" spans="1:20" ht="15.75" outlineLevel="1" thickBot="1">
      <c r="A95" s="46" t="s">
        <v>42</v>
      </c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</row>
    <row r="96" spans="1:20" outlineLevel="2">
      <c r="A96" s="34"/>
      <c r="B96" s="49">
        <v>100</v>
      </c>
      <c r="C96" s="50" t="s">
        <v>16</v>
      </c>
      <c r="E96" s="20">
        <v>89261</v>
      </c>
      <c r="F96" s="20">
        <f>82098+3372</f>
        <v>85470</v>
      </c>
      <c r="G96" s="20">
        <v>77383</v>
      </c>
      <c r="H96" s="20">
        <v>77383</v>
      </c>
      <c r="I96" s="20">
        <f>69028+3024*0</f>
        <v>69028</v>
      </c>
      <c r="J96" s="20">
        <v>69028</v>
      </c>
      <c r="K96" s="20">
        <v>69028</v>
      </c>
      <c r="N96" s="20"/>
      <c r="O96" s="20">
        <v>85470</v>
      </c>
      <c r="P96" s="20">
        <v>77339</v>
      </c>
      <c r="Q96" s="20">
        <v>60866</v>
      </c>
      <c r="R96" s="20">
        <v>62746</v>
      </c>
      <c r="S96" s="20">
        <v>68882</v>
      </c>
      <c r="T96" s="20">
        <v>45856</v>
      </c>
    </row>
    <row r="97" spans="1:24" outlineLevel="2">
      <c r="A97" s="34"/>
      <c r="B97" s="49">
        <v>200</v>
      </c>
      <c r="C97" s="50" t="s">
        <v>17</v>
      </c>
      <c r="E97" s="20"/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N97" s="23"/>
      <c r="O97" s="23"/>
      <c r="P97" s="23"/>
      <c r="Q97" s="23">
        <v>0</v>
      </c>
      <c r="R97" s="23">
        <v>0</v>
      </c>
      <c r="S97" s="23">
        <v>0</v>
      </c>
      <c r="T97" s="23">
        <v>0</v>
      </c>
    </row>
    <row r="98" spans="1:24" outlineLevel="2">
      <c r="A98" s="34"/>
      <c r="B98" s="49">
        <v>300</v>
      </c>
      <c r="C98" s="50" t="s">
        <v>19</v>
      </c>
      <c r="E98" s="20"/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N98" s="23"/>
      <c r="O98" s="23"/>
      <c r="P98" s="23"/>
      <c r="Q98" s="23">
        <v>0</v>
      </c>
      <c r="R98" s="23">
        <v>0</v>
      </c>
      <c r="S98" s="23">
        <v>0</v>
      </c>
      <c r="T98" s="23">
        <v>0</v>
      </c>
    </row>
    <row r="99" spans="1:24" outlineLevel="2">
      <c r="A99" s="34"/>
      <c r="B99" s="49">
        <v>400</v>
      </c>
      <c r="C99" s="50" t="s">
        <v>20</v>
      </c>
      <c r="E99" s="20"/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N99" s="23"/>
      <c r="O99" s="23"/>
      <c r="P99" s="23"/>
      <c r="Q99" s="23">
        <v>0</v>
      </c>
      <c r="R99" s="23">
        <v>0</v>
      </c>
      <c r="S99" s="23">
        <v>0</v>
      </c>
      <c r="T99" s="23">
        <v>0</v>
      </c>
    </row>
    <row r="100" spans="1:24" outlineLevel="2">
      <c r="A100" s="34"/>
      <c r="B100" s="49">
        <v>500</v>
      </c>
      <c r="C100" s="50" t="s">
        <v>21</v>
      </c>
      <c r="E100" s="20"/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N100" s="23"/>
      <c r="O100" s="23"/>
      <c r="P100" s="23">
        <v>0</v>
      </c>
      <c r="Q100" s="23">
        <v>0</v>
      </c>
      <c r="R100" s="23">
        <v>0</v>
      </c>
      <c r="S100" s="23">
        <v>0</v>
      </c>
      <c r="T100" s="23">
        <v>0</v>
      </c>
    </row>
    <row r="101" spans="1:24" outlineLevel="2">
      <c r="A101" s="34"/>
      <c r="B101" s="49">
        <v>800</v>
      </c>
      <c r="C101" s="50" t="s">
        <v>5</v>
      </c>
      <c r="E101" s="20"/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N101" s="23"/>
      <c r="O101" s="23"/>
      <c r="P101" s="23">
        <v>0</v>
      </c>
      <c r="Q101" s="23">
        <v>0</v>
      </c>
      <c r="R101" s="23">
        <v>0</v>
      </c>
      <c r="S101" s="23">
        <v>0</v>
      </c>
      <c r="T101" s="23">
        <v>0</v>
      </c>
    </row>
    <row r="102" spans="1:24" ht="6" customHeight="1" outlineLevel="2">
      <c r="A102" s="34"/>
      <c r="B102" s="49"/>
    </row>
    <row r="103" spans="1:24" outlineLevel="2">
      <c r="A103" s="52" t="str">
        <f>"Subtotal "&amp;A95</f>
        <v>Subtotal Procurement</v>
      </c>
      <c r="B103" s="49"/>
      <c r="E103" s="53">
        <f>SUM(E96:E102)</f>
        <v>89261</v>
      </c>
      <c r="F103" s="53">
        <f>SUM(F96:F102)</f>
        <v>85470</v>
      </c>
      <c r="G103" s="53">
        <f>SUM(G96:G102)</f>
        <v>77383</v>
      </c>
      <c r="H103" s="53">
        <f>SUM(H96:H102)</f>
        <v>77383</v>
      </c>
      <c r="I103" s="53">
        <f t="shared" ref="I103:K103" si="16">SUM(I96:I102)</f>
        <v>69028</v>
      </c>
      <c r="J103" s="53">
        <f t="shared" si="16"/>
        <v>69028</v>
      </c>
      <c r="K103" s="53">
        <f t="shared" si="16"/>
        <v>69028</v>
      </c>
      <c r="L103" s="34"/>
      <c r="M103" s="34"/>
      <c r="N103" s="53"/>
      <c r="O103" s="53">
        <f>SUM(O96:O102)</f>
        <v>85470</v>
      </c>
      <c r="P103" s="53">
        <f>SUM(P96:P102)</f>
        <v>77339</v>
      </c>
      <c r="Q103" s="53">
        <f>SUM(Q96:Q102)</f>
        <v>60866</v>
      </c>
      <c r="R103" s="53">
        <f t="shared" ref="R103:T103" si="17">SUM(R96:R102)</f>
        <v>62746</v>
      </c>
      <c r="S103" s="53">
        <f t="shared" si="17"/>
        <v>68882</v>
      </c>
      <c r="T103" s="53">
        <f t="shared" si="17"/>
        <v>45856</v>
      </c>
      <c r="U103" s="34"/>
      <c r="V103" s="34"/>
      <c r="W103" s="34"/>
      <c r="X103" s="34"/>
    </row>
    <row r="104" spans="1:24" outlineLevel="2">
      <c r="A104" s="56"/>
      <c r="B104" s="51"/>
      <c r="F104" s="57"/>
      <c r="G104" s="57"/>
      <c r="H104" s="57"/>
      <c r="I104" s="57"/>
      <c r="J104" s="57"/>
      <c r="K104" s="57"/>
      <c r="N104" s="57"/>
      <c r="O104" s="57"/>
      <c r="P104" s="57"/>
      <c r="Q104" s="57"/>
      <c r="R104" s="57"/>
      <c r="S104" s="57"/>
      <c r="T104" s="57"/>
    </row>
    <row r="105" spans="1:24" ht="15.75" outlineLevel="1" thickBot="1">
      <c r="A105" s="46" t="s">
        <v>43</v>
      </c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</row>
    <row r="106" spans="1:24" outlineLevel="2">
      <c r="A106" s="34"/>
      <c r="B106" s="49">
        <v>100</v>
      </c>
      <c r="C106" s="50" t="s">
        <v>16</v>
      </c>
      <c r="E106" s="20">
        <v>2506206</v>
      </c>
      <c r="F106" s="20">
        <f>2506206+3088</f>
        <v>2509294</v>
      </c>
      <c r="G106" s="20">
        <v>2506206</v>
      </c>
      <c r="H106" s="20">
        <v>2506206</v>
      </c>
      <c r="I106" s="20">
        <f>2432087+106532*0</f>
        <v>2432087</v>
      </c>
      <c r="J106" s="20">
        <v>2373754</v>
      </c>
      <c r="K106" s="20">
        <v>2305324</v>
      </c>
      <c r="N106" s="20"/>
      <c r="O106" s="20">
        <v>2369450</v>
      </c>
      <c r="P106" s="20">
        <v>2085052</v>
      </c>
      <c r="Q106" s="20">
        <v>2137491</v>
      </c>
      <c r="R106" s="20">
        <v>2192613</v>
      </c>
      <c r="S106" s="20">
        <v>2281362</v>
      </c>
      <c r="T106" s="20">
        <v>2286502</v>
      </c>
    </row>
    <row r="107" spans="1:24" outlineLevel="2">
      <c r="A107" s="34"/>
      <c r="B107" s="49">
        <v>200</v>
      </c>
      <c r="C107" s="50" t="s">
        <v>17</v>
      </c>
      <c r="E107" s="20">
        <v>691614</v>
      </c>
      <c r="F107" s="23">
        <v>691614</v>
      </c>
      <c r="G107" s="23">
        <v>691614</v>
      </c>
      <c r="H107" s="23">
        <v>691614</v>
      </c>
      <c r="I107" s="23">
        <v>691614</v>
      </c>
      <c r="J107" s="23">
        <v>691614</v>
      </c>
      <c r="K107" s="23">
        <v>691614</v>
      </c>
      <c r="N107" s="23"/>
      <c r="O107" s="23">
        <v>166099</v>
      </c>
      <c r="P107" s="23">
        <v>183651</v>
      </c>
      <c r="Q107" s="23">
        <v>309631</v>
      </c>
      <c r="R107" s="23">
        <v>670808</v>
      </c>
      <c r="S107" s="23">
        <v>543724</v>
      </c>
      <c r="T107" s="23">
        <v>672341</v>
      </c>
    </row>
    <row r="108" spans="1:24" outlineLevel="2">
      <c r="A108" s="34"/>
      <c r="B108" s="49">
        <v>300</v>
      </c>
      <c r="C108" s="50" t="s">
        <v>19</v>
      </c>
      <c r="E108" s="20">
        <f>30000+13010</f>
        <v>43010</v>
      </c>
      <c r="F108" s="23">
        <v>43010</v>
      </c>
      <c r="G108" s="23">
        <v>43010</v>
      </c>
      <c r="H108" s="23">
        <v>43010</v>
      </c>
      <c r="I108" s="23">
        <v>43010</v>
      </c>
      <c r="J108" s="23">
        <v>43010</v>
      </c>
      <c r="K108" s="23">
        <v>43010</v>
      </c>
      <c r="N108" s="23"/>
      <c r="O108" s="23">
        <v>36469</v>
      </c>
      <c r="P108" s="23">
        <v>18376</v>
      </c>
      <c r="Q108" s="23">
        <v>8002</v>
      </c>
      <c r="R108" s="23">
        <v>16663</v>
      </c>
      <c r="S108" s="23">
        <v>36392</v>
      </c>
      <c r="T108" s="23">
        <v>33976</v>
      </c>
    </row>
    <row r="109" spans="1:24" outlineLevel="2">
      <c r="A109" s="34"/>
      <c r="B109" s="49">
        <v>400</v>
      </c>
      <c r="C109" s="50" t="s">
        <v>20</v>
      </c>
      <c r="E109" s="20"/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N109" s="23"/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</row>
    <row r="110" spans="1:24" outlineLevel="2">
      <c r="A110" s="34"/>
      <c r="B110" s="49">
        <v>500</v>
      </c>
      <c r="C110" s="50" t="s">
        <v>21</v>
      </c>
      <c r="E110" s="20"/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N110" s="23"/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</row>
    <row r="111" spans="1:24" outlineLevel="2">
      <c r="A111" s="34"/>
      <c r="B111" s="49">
        <v>800</v>
      </c>
      <c r="C111" s="50" t="s">
        <v>5</v>
      </c>
      <c r="E111" s="20"/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N111" s="23"/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</row>
    <row r="112" spans="1:24" ht="6" customHeight="1" outlineLevel="2">
      <c r="A112" s="34"/>
      <c r="B112" s="49"/>
    </row>
    <row r="113" spans="1:20" outlineLevel="2">
      <c r="A113" s="52" t="str">
        <f>"Subtotal "&amp;A105</f>
        <v>Subtotal Law</v>
      </c>
      <c r="B113" s="34"/>
      <c r="C113" s="34"/>
      <c r="E113" s="53">
        <f>SUM(E106:E112)</f>
        <v>3240830</v>
      </c>
      <c r="F113" s="53">
        <f>SUM(F106:F112)</f>
        <v>3243918</v>
      </c>
      <c r="G113" s="53">
        <f t="shared" ref="G113:K113" si="18">SUM(G106:G112)</f>
        <v>3240830</v>
      </c>
      <c r="H113" s="53">
        <f t="shared" si="18"/>
        <v>3240830</v>
      </c>
      <c r="I113" s="53">
        <f t="shared" si="18"/>
        <v>3166711</v>
      </c>
      <c r="J113" s="53">
        <f t="shared" si="18"/>
        <v>3108378</v>
      </c>
      <c r="K113" s="53">
        <f t="shared" si="18"/>
        <v>3039948</v>
      </c>
      <c r="L113" s="34"/>
      <c r="M113" s="34"/>
      <c r="N113" s="53"/>
      <c r="O113" s="53">
        <f>SUM(O106:O112)</f>
        <v>2572018</v>
      </c>
      <c r="P113" s="53">
        <f>SUM(P106:P112)</f>
        <v>2287079</v>
      </c>
      <c r="Q113" s="53">
        <f>SUM(Q106:Q112)</f>
        <v>2455124</v>
      </c>
      <c r="R113" s="53">
        <f t="shared" ref="R113:T113" si="19">SUM(R106:R112)</f>
        <v>2880084</v>
      </c>
      <c r="S113" s="53">
        <f t="shared" si="19"/>
        <v>2861478</v>
      </c>
      <c r="T113" s="53">
        <f t="shared" si="19"/>
        <v>2992819</v>
      </c>
    </row>
    <row r="114" spans="1:20" outlineLevel="2">
      <c r="N114" s="54"/>
      <c r="O114" s="54"/>
      <c r="P114" s="54"/>
      <c r="Q114" s="54"/>
    </row>
    <row r="115" spans="1:20" ht="15.75" outlineLevel="1" thickBot="1">
      <c r="A115" s="46" t="s">
        <v>44</v>
      </c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8"/>
      <c r="O115" s="48"/>
      <c r="P115" s="48">
        <f>+P116+'[1]Direct O&amp;M'!AO96</f>
        <v>118414751</v>
      </c>
      <c r="Q115" s="48">
        <f>+Q116+'[1]Direct O&amp;M'!AP96</f>
        <v>118718437</v>
      </c>
      <c r="R115" s="47"/>
      <c r="S115" s="47"/>
      <c r="T115" s="47"/>
    </row>
    <row r="116" spans="1:20" outlineLevel="2">
      <c r="A116" s="34"/>
      <c r="B116" s="49">
        <v>100</v>
      </c>
      <c r="C116" s="33" t="s">
        <v>16</v>
      </c>
      <c r="E116" s="8">
        <f t="shared" ref="E116:K130" si="20">SUMIF($B$10:$B$112,$B116,E$10:E$112)</f>
        <v>22995568</v>
      </c>
      <c r="F116" s="8">
        <f t="shared" si="20"/>
        <v>24717183</v>
      </c>
      <c r="G116" s="8">
        <f t="shared" si="20"/>
        <v>23159458</v>
      </c>
      <c r="H116" s="8">
        <f t="shared" si="20"/>
        <v>23004957</v>
      </c>
      <c r="I116" s="8">
        <f t="shared" si="20"/>
        <v>22261042</v>
      </c>
      <c r="J116" s="8">
        <f t="shared" si="20"/>
        <v>21834703</v>
      </c>
      <c r="K116" s="8">
        <f t="shared" si="20"/>
        <v>21418430</v>
      </c>
      <c r="N116" s="8"/>
      <c r="O116" s="8">
        <f t="shared" ref="O116:T130" si="21">SUMIF($B$10:$B$112,$B116,O$10:O$112)</f>
        <v>22324850</v>
      </c>
      <c r="P116" s="8">
        <f t="shared" si="21"/>
        <v>20255756</v>
      </c>
      <c r="Q116" s="8">
        <f t="shared" si="21"/>
        <v>20275588</v>
      </c>
      <c r="R116" s="8">
        <f t="shared" si="21"/>
        <v>19307284</v>
      </c>
      <c r="S116" s="8">
        <f t="shared" si="21"/>
        <v>19134573</v>
      </c>
      <c r="T116" s="8">
        <f t="shared" si="21"/>
        <v>18500116</v>
      </c>
    </row>
    <row r="117" spans="1:20" outlineLevel="2">
      <c r="A117" s="34"/>
      <c r="B117" s="49" t="s">
        <v>30</v>
      </c>
      <c r="C117" s="33" t="s">
        <v>45</v>
      </c>
      <c r="E117" s="22">
        <f t="shared" si="20"/>
        <v>55005283</v>
      </c>
      <c r="F117" s="22">
        <f t="shared" si="20"/>
        <v>53765209</v>
      </c>
      <c r="G117" s="22">
        <f t="shared" si="20"/>
        <v>53115262</v>
      </c>
      <c r="H117" s="22">
        <f t="shared" si="20"/>
        <v>53120209</v>
      </c>
      <c r="I117" s="22">
        <f t="shared" si="20"/>
        <v>43330000</v>
      </c>
      <c r="J117" s="22">
        <f t="shared" si="20"/>
        <v>43130000</v>
      </c>
      <c r="K117" s="22">
        <f t="shared" si="20"/>
        <v>43130000</v>
      </c>
      <c r="N117" s="22"/>
      <c r="O117" s="22">
        <f t="shared" si="21"/>
        <v>52651923</v>
      </c>
      <c r="P117" s="22">
        <f t="shared" si="21"/>
        <v>47276002</v>
      </c>
      <c r="Q117" s="22">
        <f t="shared" si="21"/>
        <v>48293131</v>
      </c>
      <c r="R117" s="22">
        <f t="shared" si="21"/>
        <v>41044343.580000021</v>
      </c>
      <c r="S117" s="22">
        <f t="shared" si="21"/>
        <v>40369391.12000002</v>
      </c>
      <c r="T117" s="22">
        <f t="shared" si="21"/>
        <v>38395202.490000002</v>
      </c>
    </row>
    <row r="118" spans="1:20" outlineLevel="2">
      <c r="A118" s="34"/>
      <c r="B118" s="49">
        <v>191</v>
      </c>
      <c r="C118" s="33" t="s">
        <v>31</v>
      </c>
      <c r="E118" s="22">
        <f t="shared" si="20"/>
        <v>54652000</v>
      </c>
      <c r="F118" s="22">
        <f t="shared" si="20"/>
        <v>52384383</v>
      </c>
      <c r="G118" s="22">
        <f t="shared" si="20"/>
        <v>46529000</v>
      </c>
      <c r="H118" s="22">
        <f t="shared" si="20"/>
        <v>42000000</v>
      </c>
      <c r="I118" s="22">
        <f t="shared" si="20"/>
        <v>48800000</v>
      </c>
      <c r="J118" s="22">
        <f t="shared" si="20"/>
        <v>46638000</v>
      </c>
      <c r="K118" s="22">
        <f t="shared" si="20"/>
        <v>43106000</v>
      </c>
      <c r="N118" s="22"/>
      <c r="O118" s="22">
        <f t="shared" si="21"/>
        <v>55552438</v>
      </c>
      <c r="P118" s="22">
        <f t="shared" si="21"/>
        <v>46646526</v>
      </c>
      <c r="Q118" s="22">
        <f t="shared" si="21"/>
        <v>40861335</v>
      </c>
      <c r="R118" s="22">
        <f t="shared" si="21"/>
        <v>38305051.789999999</v>
      </c>
      <c r="S118" s="22">
        <f t="shared" si="21"/>
        <v>35507146.670000002</v>
      </c>
      <c r="T118" s="22">
        <f t="shared" si="21"/>
        <v>38770167.119999997</v>
      </c>
    </row>
    <row r="119" spans="1:20" outlineLevel="2">
      <c r="A119" s="34"/>
      <c r="B119" s="49">
        <v>190</v>
      </c>
      <c r="C119" s="33" t="s">
        <v>32</v>
      </c>
      <c r="E119" s="22">
        <f t="shared" si="20"/>
        <v>12475000</v>
      </c>
      <c r="F119" s="22">
        <f t="shared" si="20"/>
        <v>12093775</v>
      </c>
      <c r="G119" s="22">
        <f t="shared" si="20"/>
        <v>12100000</v>
      </c>
      <c r="H119" s="22">
        <f t="shared" si="20"/>
        <v>11700000</v>
      </c>
      <c r="I119" s="22">
        <f t="shared" si="20"/>
        <v>10400000</v>
      </c>
      <c r="J119" s="22">
        <f t="shared" si="20"/>
        <v>9430000</v>
      </c>
      <c r="K119" s="22">
        <f t="shared" si="20"/>
        <v>9566000</v>
      </c>
      <c r="N119" s="22"/>
      <c r="O119" s="22">
        <f t="shared" si="21"/>
        <v>13362362</v>
      </c>
      <c r="P119" s="22">
        <f t="shared" si="21"/>
        <v>12468686</v>
      </c>
      <c r="Q119" s="22">
        <f t="shared" si="21"/>
        <v>11415451</v>
      </c>
      <c r="R119" s="22">
        <f t="shared" si="21"/>
        <v>22450402.66</v>
      </c>
      <c r="S119" s="22">
        <f t="shared" si="21"/>
        <v>20452251.629999999</v>
      </c>
      <c r="T119" s="22">
        <f t="shared" si="21"/>
        <v>9843047.5299999993</v>
      </c>
    </row>
    <row r="120" spans="1:20" outlineLevel="2">
      <c r="A120" s="34"/>
      <c r="B120" s="49" t="s">
        <v>34</v>
      </c>
      <c r="C120" s="33" t="s">
        <v>35</v>
      </c>
      <c r="E120" s="22">
        <f t="shared" si="20"/>
        <v>6131000</v>
      </c>
      <c r="F120" s="22">
        <f t="shared" si="20"/>
        <v>0</v>
      </c>
      <c r="G120" s="22">
        <f t="shared" si="20"/>
        <v>0</v>
      </c>
      <c r="H120" s="22">
        <f t="shared" si="20"/>
        <v>0</v>
      </c>
      <c r="I120" s="22">
        <f t="shared" si="20"/>
        <v>0</v>
      </c>
      <c r="J120" s="22">
        <f t="shared" si="20"/>
        <v>0</v>
      </c>
      <c r="K120" s="22">
        <f t="shared" si="20"/>
        <v>0</v>
      </c>
      <c r="N120" s="22"/>
      <c r="O120" s="22">
        <f t="shared" si="21"/>
        <v>0</v>
      </c>
      <c r="P120" s="22">
        <f t="shared" si="21"/>
        <v>0</v>
      </c>
      <c r="Q120" s="22">
        <f t="shared" si="21"/>
        <v>0</v>
      </c>
      <c r="R120" s="22">
        <f t="shared" si="21"/>
        <v>0</v>
      </c>
      <c r="S120" s="22">
        <f t="shared" si="21"/>
        <v>0</v>
      </c>
      <c r="T120" s="22">
        <f t="shared" si="21"/>
        <v>0</v>
      </c>
    </row>
    <row r="121" spans="1:20" outlineLevel="2">
      <c r="A121" s="34"/>
      <c r="B121" s="49" t="s">
        <v>36</v>
      </c>
      <c r="C121" s="33" t="s">
        <v>37</v>
      </c>
      <c r="E121" s="22">
        <f t="shared" si="20"/>
        <v>5846000</v>
      </c>
      <c r="F121" s="22">
        <f t="shared" si="20"/>
        <v>0</v>
      </c>
      <c r="G121" s="22">
        <f t="shared" si="20"/>
        <v>0</v>
      </c>
      <c r="H121" s="22">
        <f t="shared" si="20"/>
        <v>0</v>
      </c>
      <c r="I121" s="22">
        <f t="shared" si="20"/>
        <v>0</v>
      </c>
      <c r="J121" s="22">
        <f t="shared" si="20"/>
        <v>0</v>
      </c>
      <c r="K121" s="22">
        <f t="shared" si="20"/>
        <v>0</v>
      </c>
      <c r="N121" s="22"/>
      <c r="O121" s="22">
        <f t="shared" si="21"/>
        <v>0</v>
      </c>
      <c r="P121" s="22">
        <f t="shared" si="21"/>
        <v>0</v>
      </c>
      <c r="Q121" s="22">
        <f t="shared" si="21"/>
        <v>0</v>
      </c>
      <c r="R121" s="22">
        <f t="shared" si="21"/>
        <v>0</v>
      </c>
      <c r="S121" s="22">
        <f t="shared" si="21"/>
        <v>0</v>
      </c>
      <c r="T121" s="22">
        <f t="shared" si="21"/>
        <v>0</v>
      </c>
    </row>
    <row r="122" spans="1:20" outlineLevel="2">
      <c r="A122" s="34"/>
      <c r="B122" s="49" t="s">
        <v>38</v>
      </c>
      <c r="C122" s="33" t="s">
        <v>39</v>
      </c>
      <c r="E122" s="22">
        <f t="shared" si="20"/>
        <v>1199000</v>
      </c>
      <c r="F122" s="22">
        <f t="shared" si="20"/>
        <v>0</v>
      </c>
      <c r="G122" s="22">
        <f t="shared" si="20"/>
        <v>0</v>
      </c>
      <c r="H122" s="22">
        <f t="shared" si="20"/>
        <v>0</v>
      </c>
      <c r="I122" s="22">
        <f t="shared" si="20"/>
        <v>0</v>
      </c>
      <c r="J122" s="22">
        <f t="shared" si="20"/>
        <v>0</v>
      </c>
      <c r="K122" s="22">
        <f t="shared" si="20"/>
        <v>0</v>
      </c>
      <c r="N122" s="22"/>
      <c r="O122" s="22">
        <f t="shared" si="21"/>
        <v>0</v>
      </c>
      <c r="P122" s="22">
        <f t="shared" si="21"/>
        <v>0</v>
      </c>
      <c r="Q122" s="22">
        <f t="shared" si="21"/>
        <v>0</v>
      </c>
      <c r="R122" s="22">
        <f t="shared" si="21"/>
        <v>0</v>
      </c>
      <c r="S122" s="22">
        <f t="shared" si="21"/>
        <v>0</v>
      </c>
      <c r="T122" s="22">
        <f t="shared" si="21"/>
        <v>0</v>
      </c>
    </row>
    <row r="123" spans="1:20" outlineLevel="2">
      <c r="A123" s="34"/>
      <c r="B123" s="49">
        <v>200</v>
      </c>
      <c r="C123" s="33" t="s">
        <v>17</v>
      </c>
      <c r="E123" s="22">
        <f t="shared" si="20"/>
        <v>31409405</v>
      </c>
      <c r="F123" s="22">
        <f t="shared" si="20"/>
        <v>29075932</v>
      </c>
      <c r="G123" s="22">
        <f t="shared" si="20"/>
        <v>25444224</v>
      </c>
      <c r="H123" s="22">
        <f t="shared" si="20"/>
        <v>21936231</v>
      </c>
      <c r="I123" s="22">
        <f t="shared" si="20"/>
        <v>20968733</v>
      </c>
      <c r="J123" s="22">
        <f t="shared" si="20"/>
        <v>20045000</v>
      </c>
      <c r="K123" s="22">
        <f t="shared" si="20"/>
        <v>20230209</v>
      </c>
      <c r="N123" s="22"/>
      <c r="O123" s="22">
        <f t="shared" si="21"/>
        <v>23314964</v>
      </c>
      <c r="P123" s="22">
        <f t="shared" si="21"/>
        <v>20160344</v>
      </c>
      <c r="Q123" s="22">
        <f t="shared" si="21"/>
        <v>20225877</v>
      </c>
      <c r="R123" s="22">
        <f t="shared" si="21"/>
        <v>19597086</v>
      </c>
      <c r="S123" s="22">
        <f t="shared" si="21"/>
        <v>18412885</v>
      </c>
      <c r="T123" s="22">
        <f t="shared" si="21"/>
        <v>16130105</v>
      </c>
    </row>
    <row r="124" spans="1:20" outlineLevel="2">
      <c r="A124" s="34"/>
      <c r="B124" s="49">
        <v>220</v>
      </c>
      <c r="C124" s="33" t="s">
        <v>18</v>
      </c>
      <c r="E124" s="22">
        <f t="shared" si="20"/>
        <v>0</v>
      </c>
      <c r="F124" s="22">
        <f t="shared" si="20"/>
        <v>0</v>
      </c>
      <c r="G124" s="22">
        <f t="shared" si="20"/>
        <v>0</v>
      </c>
      <c r="H124" s="22">
        <f t="shared" si="20"/>
        <v>0</v>
      </c>
      <c r="I124" s="22">
        <f t="shared" si="20"/>
        <v>0</v>
      </c>
      <c r="J124" s="22">
        <f t="shared" si="20"/>
        <v>0</v>
      </c>
      <c r="K124" s="22">
        <f t="shared" si="20"/>
        <v>0</v>
      </c>
      <c r="N124" s="22"/>
      <c r="O124" s="22">
        <f t="shared" si="21"/>
        <v>0</v>
      </c>
      <c r="P124" s="22">
        <f t="shared" si="21"/>
        <v>0</v>
      </c>
      <c r="Q124" s="22">
        <f t="shared" si="21"/>
        <v>0</v>
      </c>
      <c r="R124" s="22">
        <f t="shared" si="21"/>
        <v>0</v>
      </c>
      <c r="S124" s="22">
        <f t="shared" si="21"/>
        <v>0</v>
      </c>
      <c r="T124" s="22">
        <f t="shared" si="21"/>
        <v>0</v>
      </c>
    </row>
    <row r="125" spans="1:20" outlineLevel="2">
      <c r="A125" s="34"/>
      <c r="B125" s="49">
        <v>221</v>
      </c>
      <c r="C125" s="33" t="s">
        <v>11</v>
      </c>
      <c r="E125" s="22">
        <f t="shared" si="20"/>
        <v>0</v>
      </c>
      <c r="F125" s="22">
        <f t="shared" si="20"/>
        <v>0</v>
      </c>
      <c r="G125" s="22">
        <f t="shared" si="20"/>
        <v>0</v>
      </c>
      <c r="H125" s="22">
        <f t="shared" si="20"/>
        <v>0</v>
      </c>
      <c r="I125" s="22">
        <f t="shared" si="20"/>
        <v>0</v>
      </c>
      <c r="J125" s="22">
        <f t="shared" si="20"/>
        <v>0</v>
      </c>
      <c r="K125" s="22">
        <f t="shared" si="20"/>
        <v>0</v>
      </c>
      <c r="N125" s="22"/>
      <c r="O125" s="22">
        <f t="shared" si="21"/>
        <v>0</v>
      </c>
      <c r="P125" s="22">
        <f t="shared" si="21"/>
        <v>0</v>
      </c>
      <c r="Q125" s="22">
        <f t="shared" si="21"/>
        <v>0</v>
      </c>
      <c r="R125" s="22">
        <f t="shared" si="21"/>
        <v>0</v>
      </c>
      <c r="S125" s="22">
        <f t="shared" si="21"/>
        <v>0</v>
      </c>
      <c r="T125" s="22">
        <f t="shared" si="21"/>
        <v>0</v>
      </c>
    </row>
    <row r="126" spans="1:20" outlineLevel="2">
      <c r="A126" s="34"/>
      <c r="B126" s="49">
        <v>300</v>
      </c>
      <c r="C126" s="33" t="s">
        <v>19</v>
      </c>
      <c r="E126" s="22">
        <f t="shared" si="20"/>
        <v>8446600</v>
      </c>
      <c r="F126" s="22">
        <f t="shared" si="20"/>
        <v>7797477</v>
      </c>
      <c r="G126" s="22">
        <f t="shared" si="20"/>
        <v>6983720</v>
      </c>
      <c r="H126" s="22">
        <f t="shared" si="20"/>
        <v>6776220</v>
      </c>
      <c r="I126" s="22">
        <f t="shared" si="20"/>
        <v>6311120</v>
      </c>
      <c r="J126" s="22">
        <f t="shared" si="20"/>
        <v>6460125</v>
      </c>
      <c r="K126" s="22">
        <f t="shared" si="20"/>
        <v>6474808</v>
      </c>
      <c r="N126" s="22"/>
      <c r="O126" s="22">
        <f t="shared" si="21"/>
        <v>5914492</v>
      </c>
      <c r="P126" s="22">
        <f t="shared" si="21"/>
        <v>5335938</v>
      </c>
      <c r="Q126" s="22">
        <f t="shared" si="21"/>
        <v>6480357</v>
      </c>
      <c r="R126" s="22">
        <f t="shared" si="21"/>
        <v>5874764</v>
      </c>
      <c r="S126" s="22">
        <f t="shared" si="21"/>
        <v>5158682</v>
      </c>
      <c r="T126" s="22">
        <f t="shared" si="21"/>
        <v>5255415</v>
      </c>
    </row>
    <row r="127" spans="1:20" outlineLevel="2">
      <c r="A127" s="34"/>
      <c r="B127" s="49">
        <v>307</v>
      </c>
      <c r="C127" s="33" t="s">
        <v>12</v>
      </c>
      <c r="E127" s="22">
        <f t="shared" si="20"/>
        <v>0</v>
      </c>
      <c r="F127" s="22">
        <f t="shared" si="20"/>
        <v>0</v>
      </c>
      <c r="G127" s="22">
        <f t="shared" si="20"/>
        <v>0</v>
      </c>
      <c r="H127" s="22">
        <f t="shared" si="20"/>
        <v>0</v>
      </c>
      <c r="I127" s="22">
        <f t="shared" si="20"/>
        <v>0</v>
      </c>
      <c r="J127" s="22">
        <f t="shared" si="20"/>
        <v>0</v>
      </c>
      <c r="K127" s="22">
        <f t="shared" si="20"/>
        <v>0</v>
      </c>
      <c r="N127" s="22"/>
      <c r="O127" s="22">
        <f t="shared" si="21"/>
        <v>0</v>
      </c>
      <c r="P127" s="22">
        <f t="shared" si="21"/>
        <v>0</v>
      </c>
      <c r="Q127" s="22">
        <f t="shared" si="21"/>
        <v>0</v>
      </c>
      <c r="R127" s="22">
        <f t="shared" si="21"/>
        <v>0</v>
      </c>
      <c r="S127" s="22">
        <f t="shared" si="21"/>
        <v>0</v>
      </c>
      <c r="T127" s="22">
        <f t="shared" si="21"/>
        <v>0</v>
      </c>
    </row>
    <row r="128" spans="1:20" outlineLevel="2">
      <c r="A128" s="34"/>
      <c r="B128" s="49">
        <v>400</v>
      </c>
      <c r="C128" s="33" t="s">
        <v>20</v>
      </c>
      <c r="E128" s="22">
        <f t="shared" si="20"/>
        <v>0</v>
      </c>
      <c r="F128" s="22">
        <f t="shared" si="20"/>
        <v>0</v>
      </c>
      <c r="G128" s="22">
        <f t="shared" si="20"/>
        <v>0</v>
      </c>
      <c r="H128" s="22">
        <f t="shared" si="20"/>
        <v>0</v>
      </c>
      <c r="I128" s="22">
        <f t="shared" si="20"/>
        <v>0</v>
      </c>
      <c r="J128" s="22">
        <f t="shared" si="20"/>
        <v>0</v>
      </c>
      <c r="K128" s="22">
        <f t="shared" si="20"/>
        <v>0</v>
      </c>
      <c r="N128" s="22"/>
      <c r="O128" s="22">
        <f t="shared" si="21"/>
        <v>0</v>
      </c>
      <c r="P128" s="22">
        <f t="shared" si="21"/>
        <v>0</v>
      </c>
      <c r="Q128" s="22">
        <f t="shared" si="21"/>
        <v>0</v>
      </c>
      <c r="R128" s="22">
        <f t="shared" si="21"/>
        <v>0</v>
      </c>
      <c r="S128" s="22">
        <f t="shared" si="21"/>
        <v>0</v>
      </c>
      <c r="T128" s="22">
        <f t="shared" si="21"/>
        <v>0</v>
      </c>
    </row>
    <row r="129" spans="1:20" outlineLevel="2">
      <c r="A129" s="34"/>
      <c r="B129" s="49">
        <v>500</v>
      </c>
      <c r="C129" s="33" t="s">
        <v>21</v>
      </c>
      <c r="E129" s="22">
        <f t="shared" si="20"/>
        <v>6505000</v>
      </c>
      <c r="F129" s="22">
        <f t="shared" si="20"/>
        <v>6505000</v>
      </c>
      <c r="G129" s="22">
        <f t="shared" si="20"/>
        <v>6505000</v>
      </c>
      <c r="H129" s="22">
        <f t="shared" si="20"/>
        <v>6505000</v>
      </c>
      <c r="I129" s="22">
        <f t="shared" si="20"/>
        <v>6501500</v>
      </c>
      <c r="J129" s="22">
        <f t="shared" si="20"/>
        <v>6501500</v>
      </c>
      <c r="K129" s="22">
        <f t="shared" si="20"/>
        <v>6503000</v>
      </c>
      <c r="N129" s="22"/>
      <c r="O129" s="22">
        <f t="shared" si="21"/>
        <v>6952313</v>
      </c>
      <c r="P129" s="22">
        <f t="shared" si="21"/>
        <v>5440820</v>
      </c>
      <c r="Q129" s="22">
        <f t="shared" si="21"/>
        <v>3842040</v>
      </c>
      <c r="R129" s="22">
        <f t="shared" si="21"/>
        <v>6036579</v>
      </c>
      <c r="S129" s="22">
        <f t="shared" si="21"/>
        <v>5090380</v>
      </c>
      <c r="T129" s="22">
        <f t="shared" si="21"/>
        <v>3047230</v>
      </c>
    </row>
    <row r="130" spans="1:20" outlineLevel="2">
      <c r="A130" s="34"/>
      <c r="B130" s="49">
        <v>800</v>
      </c>
      <c r="C130" s="33" t="s">
        <v>5</v>
      </c>
      <c r="E130" s="22">
        <f t="shared" si="20"/>
        <v>0</v>
      </c>
      <c r="F130" s="22">
        <f t="shared" si="20"/>
        <v>0</v>
      </c>
      <c r="G130" s="22">
        <f t="shared" si="20"/>
        <v>0</v>
      </c>
      <c r="H130" s="22">
        <f t="shared" si="20"/>
        <v>0</v>
      </c>
      <c r="I130" s="22">
        <f t="shared" si="20"/>
        <v>0</v>
      </c>
      <c r="J130" s="22">
        <f t="shared" si="20"/>
        <v>0</v>
      </c>
      <c r="K130" s="22">
        <f t="shared" si="20"/>
        <v>0</v>
      </c>
      <c r="N130" s="22"/>
      <c r="O130" s="22">
        <f t="shared" si="21"/>
        <v>0</v>
      </c>
      <c r="P130" s="22">
        <f t="shared" si="21"/>
        <v>0</v>
      </c>
      <c r="Q130" s="22">
        <f t="shared" si="21"/>
        <v>0</v>
      </c>
      <c r="R130" s="22">
        <f t="shared" si="21"/>
        <v>0</v>
      </c>
      <c r="S130" s="22">
        <f t="shared" si="21"/>
        <v>0</v>
      </c>
      <c r="T130" s="22">
        <f t="shared" si="21"/>
        <v>0</v>
      </c>
    </row>
    <row r="131" spans="1:20" ht="6" customHeight="1" outlineLevel="2">
      <c r="A131" s="34"/>
      <c r="B131" s="49"/>
      <c r="E131" s="37"/>
      <c r="F131" s="37"/>
      <c r="G131" s="37"/>
      <c r="H131" s="37"/>
      <c r="I131" s="37"/>
      <c r="J131" s="37"/>
      <c r="K131" s="37"/>
      <c r="N131" s="37"/>
      <c r="O131" s="37"/>
      <c r="P131" s="37"/>
      <c r="Q131" s="37"/>
      <c r="R131" s="37"/>
      <c r="S131" s="37"/>
      <c r="T131" s="37"/>
    </row>
    <row r="132" spans="1:20" outlineLevel="2">
      <c r="A132" s="36" t="str">
        <f>"Total "&amp;A115</f>
        <v>Total Other Department Operating and Maintenance Expenses Summary</v>
      </c>
      <c r="B132" s="36"/>
      <c r="C132" s="36"/>
      <c r="E132" s="59">
        <f>SUM(E116:E131)</f>
        <v>204664856</v>
      </c>
      <c r="F132" s="59">
        <f t="shared" ref="F132:K132" si="22">SUM(F116:F131)</f>
        <v>186338959</v>
      </c>
      <c r="G132" s="59">
        <f t="shared" si="22"/>
        <v>173836664</v>
      </c>
      <c r="H132" s="59">
        <f t="shared" si="22"/>
        <v>165042617</v>
      </c>
      <c r="I132" s="59">
        <f t="shared" si="22"/>
        <v>158572395</v>
      </c>
      <c r="J132" s="59">
        <f t="shared" si="22"/>
        <v>154039328</v>
      </c>
      <c r="K132" s="59">
        <f t="shared" si="22"/>
        <v>150428447</v>
      </c>
      <c r="L132" s="34"/>
      <c r="M132" s="34"/>
      <c r="N132" s="59"/>
      <c r="O132" s="59">
        <f>SUM(O116:O131)</f>
        <v>180073342</v>
      </c>
      <c r="P132" s="59">
        <f>SUM(P116:P131)</f>
        <v>157584072</v>
      </c>
      <c r="Q132" s="59">
        <f t="shared" ref="Q132:T132" si="23">SUM(Q116:Q131)</f>
        <v>151393779</v>
      </c>
      <c r="R132" s="59">
        <f t="shared" si="23"/>
        <v>152615511.03000003</v>
      </c>
      <c r="S132" s="59">
        <f t="shared" si="23"/>
        <v>144125309.42000002</v>
      </c>
      <c r="T132" s="59">
        <f t="shared" si="23"/>
        <v>129941283.14</v>
      </c>
    </row>
    <row r="133" spans="1:20" outlineLevel="2">
      <c r="A133" s="36"/>
      <c r="B133" s="36"/>
      <c r="C133" s="36"/>
      <c r="E133" s="59"/>
      <c r="F133" s="59"/>
      <c r="G133" s="59"/>
      <c r="H133" s="59"/>
      <c r="I133" s="59"/>
      <c r="J133" s="59"/>
      <c r="K133" s="59"/>
      <c r="L133" s="34"/>
      <c r="M133" s="34"/>
      <c r="N133" s="59"/>
      <c r="O133" s="59"/>
      <c r="P133" s="59"/>
      <c r="Q133" s="59"/>
      <c r="R133" s="59"/>
      <c r="S133" s="59"/>
      <c r="T133" s="59"/>
    </row>
    <row r="134" spans="1:20" outlineLevel="2">
      <c r="A134" s="36" t="s">
        <v>22</v>
      </c>
      <c r="B134" s="36"/>
      <c r="C134" s="36"/>
      <c r="E134" s="58">
        <f t="shared" ref="E134:K134" si="24">+E17+E27+E37+E47+E57+E70+E83+E93+E103+E113-E132</f>
        <v>0</v>
      </c>
      <c r="F134" s="58">
        <f t="shared" si="24"/>
        <v>0</v>
      </c>
      <c r="G134" s="58">
        <f t="shared" si="24"/>
        <v>0</v>
      </c>
      <c r="H134" s="58">
        <f t="shared" si="24"/>
        <v>0</v>
      </c>
      <c r="I134" s="58">
        <f t="shared" si="24"/>
        <v>0</v>
      </c>
      <c r="J134" s="58">
        <f t="shared" si="24"/>
        <v>0</v>
      </c>
      <c r="K134" s="58">
        <f t="shared" si="24"/>
        <v>0</v>
      </c>
      <c r="L134" s="34"/>
      <c r="M134" s="34"/>
      <c r="N134" s="58"/>
      <c r="O134" s="58">
        <f t="shared" ref="O134:T134" si="25">+O17+O27+O37+O47+O57+O70+O83+O93+O103+O113-O132</f>
        <v>0</v>
      </c>
      <c r="P134" s="58">
        <f t="shared" si="25"/>
        <v>0</v>
      </c>
      <c r="Q134" s="58">
        <f t="shared" si="25"/>
        <v>0</v>
      </c>
      <c r="R134" s="58">
        <f t="shared" si="25"/>
        <v>0</v>
      </c>
      <c r="S134" s="58">
        <f t="shared" si="25"/>
        <v>0</v>
      </c>
      <c r="T134" s="58">
        <f t="shared" si="25"/>
        <v>0</v>
      </c>
    </row>
    <row r="135" spans="1:20" outlineLevel="2">
      <c r="A135" s="36"/>
      <c r="B135" s="36"/>
      <c r="C135" s="36"/>
      <c r="F135" s="59"/>
      <c r="G135" s="59"/>
      <c r="H135" s="59"/>
      <c r="I135" s="59"/>
      <c r="J135" s="59"/>
      <c r="K135" s="59"/>
      <c r="L135" s="34"/>
      <c r="M135" s="34"/>
      <c r="N135" s="59"/>
      <c r="O135" s="59"/>
      <c r="P135" s="59"/>
      <c r="Q135" s="59"/>
      <c r="R135" s="59"/>
      <c r="S135" s="59"/>
      <c r="T135" s="59"/>
    </row>
  </sheetData>
  <pageMargins left="0.25" right="0.25" top="0.75" bottom="0.75" header="0.3" footer="0.3"/>
  <pageSetup fitToHeight="0" orientation="landscape" r:id="rId1"/>
  <headerFooter>
    <oddHeader>&amp;L&amp;"-,Bold"FY 2017 ‐ 2018 Rate Proceeding&amp;C&amp;"-,Bold"WORKPAPERS&amp;RFinancial Planning Model</oddHeader>
    <oddFooter>&amp;LBlack &amp;&amp; Veatch&amp;R&amp;D</oddFooter>
  </headerFooter>
  <rowBreaks count="1" manualBreakCount="1">
    <brk id="5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Direct O&amp;M</vt:lpstr>
      <vt:lpstr>Other Dept O&amp;M</vt:lpstr>
      <vt:lpstr>'Other Dept O&amp;M'!OM_New_Col</vt:lpstr>
      <vt:lpstr>OM_New_Col</vt:lpstr>
      <vt:lpstr>'Other Dept O&amp;M'!OMColumn_Copy</vt:lpstr>
      <vt:lpstr>OMColumn_Copy</vt:lpstr>
      <vt:lpstr>'Direct O&amp;M'!Print_Area</vt:lpstr>
      <vt:lpstr>'Other Dept O&amp;M'!Print_Area</vt:lpstr>
      <vt:lpstr>'Direct O&amp;M'!Print_Titles</vt:lpstr>
      <vt:lpstr>'Other Dept O&amp;M'!Print_Titles</vt:lpstr>
    </vt:vector>
  </TitlesOfParts>
  <Company>Black &amp; Veatch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Merritt, Brian L.</dc:creator>
  <cp:lastModifiedBy>Merritt, Brian L.</cp:lastModifiedBy>
  <dcterms:created xsi:type="dcterms:W3CDTF">2017-12-19T21:18:39Z</dcterms:created>
  <dcterms:modified xsi:type="dcterms:W3CDTF">2018-02-13T20:21:47Z</dcterms:modified>
</cp:coreProperties>
</file>