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60" windowWidth="19420" windowHeight="6890"/>
  </bookViews>
  <sheets>
    <sheet name="Summary" sheetId="6" r:id="rId1"/>
    <sheet name="Rates" sheetId="19" r:id="rId2"/>
    <sheet name="TAP Rider CALC" sheetId="21" r:id="rId3"/>
    <sheet name="Revenue" sheetId="23" r:id="rId4"/>
  </sheets>
  <definedNames>
    <definedName name="_xlnm.Print_Area" localSheetId="1">Rates!$B$2:$G$13</definedName>
    <definedName name="_xlnm.Print_Area" localSheetId="3">Revenue!$B$2:$H$16</definedName>
    <definedName name="_xlnm.Print_Area" localSheetId="0">Summary!$B$2:$J$26</definedName>
    <definedName name="_xlnm.Print_Area" localSheetId="2">'TAP Rider CALC'!$A$1:$M$72</definedName>
  </definedNames>
  <calcPr calcId="145621"/>
</workbook>
</file>

<file path=xl/calcChain.xml><?xml version="1.0" encoding="utf-8"?>
<calcChain xmlns="http://schemas.openxmlformats.org/spreadsheetml/2006/main">
  <c r="B18" i="23" l="1"/>
  <c r="H13" i="21" l="1"/>
  <c r="H8" i="21"/>
  <c r="E16" i="23" l="1"/>
  <c r="F16" i="23" s="1"/>
  <c r="E12" i="23"/>
  <c r="F12" i="23" s="1"/>
  <c r="E11" i="23"/>
  <c r="F11" i="23" s="1"/>
  <c r="E10" i="23"/>
  <c r="F10" i="23" s="1"/>
  <c r="E9" i="23"/>
  <c r="F9" i="23" s="1"/>
  <c r="B10" i="23"/>
  <c r="B11" i="23" s="1"/>
  <c r="B12" i="23" s="1"/>
  <c r="B16" i="23" s="1"/>
  <c r="F13" i="23" l="1"/>
  <c r="D13" i="19" l="1"/>
  <c r="D10" i="19"/>
  <c r="D9" i="19"/>
  <c r="D8" i="19"/>
  <c r="D7" i="19"/>
  <c r="I16" i="6"/>
  <c r="G16" i="6"/>
  <c r="E52" i="21" l="1"/>
  <c r="E39" i="21"/>
  <c r="E38" i="21"/>
  <c r="E37" i="21"/>
  <c r="E36" i="21"/>
  <c r="H14" i="21"/>
  <c r="E12" i="6" s="1"/>
  <c r="H9" i="21"/>
  <c r="E10" i="6" s="1"/>
  <c r="D8" i="21"/>
  <c r="D9" i="21" s="1"/>
  <c r="D12" i="21" s="1"/>
  <c r="D13" i="21" s="1"/>
  <c r="D14" i="21" s="1"/>
  <c r="D17" i="21" s="1"/>
  <c r="D21" i="21" s="1"/>
  <c r="D23" i="21" s="1"/>
  <c r="D25" i="21" s="1"/>
  <c r="D27" i="21" s="1"/>
  <c r="D30" i="21" s="1"/>
  <c r="D31" i="21" s="1"/>
  <c r="D32" i="21" s="1"/>
  <c r="D33" i="21" s="1"/>
  <c r="D36" i="21" s="1"/>
  <c r="D37" i="21" s="1"/>
  <c r="D38" i="21" s="1"/>
  <c r="D39" i="21" s="1"/>
  <c r="D42" i="21" s="1"/>
  <c r="D44" i="21" s="1"/>
  <c r="D46" i="21" s="1"/>
  <c r="D49" i="21" s="1"/>
  <c r="D52" i="21" s="1"/>
  <c r="D56" i="21" s="1"/>
  <c r="D57" i="21" s="1"/>
  <c r="D58" i="21" s="1"/>
  <c r="D59" i="21" s="1"/>
  <c r="D62" i="21" s="1"/>
  <c r="I10" i="6" l="1"/>
  <c r="G10" i="6"/>
  <c r="I12" i="6"/>
  <c r="G12" i="6"/>
  <c r="H17" i="21"/>
  <c r="J42" i="21" l="1"/>
  <c r="J46" i="21" s="1"/>
  <c r="J52" i="21" s="1"/>
  <c r="J21" i="21"/>
  <c r="J23" i="21" s="1"/>
  <c r="J62" i="21" l="1"/>
  <c r="J27" i="21"/>
  <c r="J37" i="21" l="1"/>
  <c r="J39" i="21"/>
  <c r="J38" i="21"/>
  <c r="J36" i="21"/>
  <c r="J57" i="21" l="1"/>
  <c r="J59" i="21"/>
  <c r="J56" i="21"/>
  <c r="J58" i="21"/>
  <c r="B8" i="19"/>
  <c r="B9" i="19" s="1"/>
  <c r="B10" i="19" s="1"/>
  <c r="B13" i="19" s="1"/>
  <c r="E16" i="6" l="1"/>
  <c r="E14" i="6" l="1"/>
  <c r="E18" i="6" l="1"/>
  <c r="G14" i="6"/>
  <c r="G18" i="6" s="1"/>
  <c r="I14" i="6"/>
  <c r="I18" i="6" s="1"/>
  <c r="E13" i="19" s="1"/>
  <c r="F13" i="19" s="1"/>
  <c r="G13" i="19" l="1"/>
  <c r="G16" i="23"/>
  <c r="H16" i="23" s="1"/>
  <c r="J16" i="23" s="1"/>
  <c r="K16" i="23" s="1"/>
  <c r="E9" i="19"/>
  <c r="F9" i="19" s="1"/>
  <c r="E8" i="19"/>
  <c r="F8" i="19" s="1"/>
  <c r="E7" i="19"/>
  <c r="F7" i="19" s="1"/>
  <c r="E10" i="19"/>
  <c r="F10" i="19" s="1"/>
  <c r="G8" i="19" l="1"/>
  <c r="G10" i="23"/>
  <c r="H10" i="23" s="1"/>
  <c r="J10" i="23" s="1"/>
  <c r="G9" i="19"/>
  <c r="G11" i="23"/>
  <c r="H11" i="23" s="1"/>
  <c r="J11" i="23" s="1"/>
  <c r="G10" i="19"/>
  <c r="G12" i="23"/>
  <c r="H12" i="23" s="1"/>
  <c r="J12" i="23" s="1"/>
  <c r="G7" i="19"/>
  <c r="G9" i="23"/>
  <c r="H9" i="23" s="1"/>
  <c r="J9" i="23" l="1"/>
  <c r="J13" i="23" s="1"/>
  <c r="H13" i="23"/>
  <c r="K13" i="23" l="1"/>
  <c r="J18" i="23"/>
</calcChain>
</file>

<file path=xl/sharedStrings.xml><?xml version="1.0" encoding="utf-8"?>
<sst xmlns="http://schemas.openxmlformats.org/spreadsheetml/2006/main" count="175" uniqueCount="132">
  <si>
    <t xml:space="preserve">Amount </t>
  </si>
  <si>
    <t xml:space="preserve">Philadelphia Water Department </t>
  </si>
  <si>
    <t xml:space="preserve">Notes: </t>
  </si>
  <si>
    <t>Mcf</t>
  </si>
  <si>
    <t>Sewer Volume Rate</t>
  </si>
  <si>
    <t xml:space="preserve">Adopted </t>
  </si>
  <si>
    <t>FY 2020</t>
  </si>
  <si>
    <t>(1)</t>
  </si>
  <si>
    <t>(2)</t>
  </si>
  <si>
    <t>(3)</t>
  </si>
  <si>
    <t>(4)</t>
  </si>
  <si>
    <t>(5)</t>
  </si>
  <si>
    <t>Notes:</t>
  </si>
  <si>
    <t>Adjusted</t>
  </si>
  <si>
    <t>FY 2019</t>
  </si>
  <si>
    <t>Water</t>
  </si>
  <si>
    <t>Wastewater</t>
  </si>
  <si>
    <t>0 to 2 Mcf</t>
  </si>
  <si>
    <t>2.1 to 100 Mcf</t>
  </si>
  <si>
    <t>100.1 to 2,000 Mcf</t>
  </si>
  <si>
    <t>2,000 + Mcf</t>
  </si>
  <si>
    <t>Sewer Volume Rate ($/Mcf)</t>
  </si>
  <si>
    <t xml:space="preserve">Net Incremental LiCAP Costs </t>
  </si>
  <si>
    <t xml:space="preserve">Adjustment to Next Period (Future FY) </t>
  </si>
  <si>
    <t>A</t>
  </si>
  <si>
    <t>B</t>
  </si>
  <si>
    <t>Incremental LiCAP Costs (L-Factor)</t>
  </si>
  <si>
    <t xml:space="preserve">Experienced TAP Revenue Loss (E-Factor) </t>
  </si>
  <si>
    <t>Total Tap Adjustment Amount (L - E)</t>
  </si>
  <si>
    <t>Total</t>
  </si>
  <si>
    <t>Water Portion</t>
  </si>
  <si>
    <t>Sewer Portion</t>
  </si>
  <si>
    <r>
      <t>L = Incremental LiCAP Costs</t>
    </r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</si>
  <si>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E = Experienced &amp; Estimated Net Over/(Under) Recovery </t>
    </r>
    <r>
      <rPr>
        <vertAlign val="superscript"/>
        <sz val="11"/>
        <color theme="1"/>
        <rFont val="Calibri"/>
        <family val="2"/>
        <scheme val="minor"/>
      </rPr>
      <t>b</t>
    </r>
  </si>
  <si>
    <r>
      <t>Net Recoverable</t>
    </r>
    <r>
      <rPr>
        <vertAlign val="superscript"/>
        <sz val="11"/>
        <color theme="1"/>
        <rFont val="Calibri"/>
        <family val="2"/>
        <scheme val="minor"/>
      </rPr>
      <t xml:space="preserve">c </t>
    </r>
    <r>
      <rPr>
        <sz val="11"/>
        <color theme="1"/>
        <rFont val="Calibri"/>
        <family val="2"/>
        <scheme val="minor"/>
      </rPr>
      <t>(L - E)</t>
    </r>
  </si>
  <si>
    <r>
      <rPr>
        <vertAlign val="superscript"/>
        <sz val="10"/>
        <color theme="1"/>
        <rFont val="Calibri"/>
        <family val="2"/>
        <scheme val="minor"/>
      </rPr>
      <t>c</t>
    </r>
    <r>
      <rPr>
        <sz val="10"/>
        <color theme="1"/>
        <rFont val="Calibri"/>
        <family val="2"/>
        <scheme val="minor"/>
      </rPr>
      <t xml:space="preserve">Net Recoverable TAP Losses </t>
    </r>
  </si>
  <si>
    <r>
      <t>TAP Adjustment (%)</t>
    </r>
    <r>
      <rPr>
        <b/>
        <vertAlign val="super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 xml:space="preserve">:  </t>
    </r>
    <r>
      <rPr>
        <sz val="11"/>
        <color theme="1"/>
        <rFont val="Calibri"/>
        <family val="2"/>
        <scheme val="minor"/>
      </rPr>
      <t xml:space="preserve"> (3)/(4)</t>
    </r>
  </si>
  <si>
    <r>
      <rPr>
        <vertAlign val="super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 xml:space="preserve">Incremental LICAP Program Costs for the current fiscal year.    </t>
    </r>
  </si>
  <si>
    <r>
      <rPr>
        <vertAlign val="superscript"/>
        <sz val="10"/>
        <color theme="1"/>
        <rFont val="Calibri"/>
        <family val="2"/>
        <scheme val="minor"/>
      </rPr>
      <t>b</t>
    </r>
    <r>
      <rPr>
        <sz val="10"/>
        <color theme="1"/>
        <rFont val="Calibri"/>
        <family val="2"/>
        <scheme val="minor"/>
      </rPr>
      <t xml:space="preserve">Actual TAP Discounts versus TAP Revenue Recovery for the current fiscal year. </t>
    </r>
  </si>
  <si>
    <r>
      <rPr>
        <vertAlign val="superscript"/>
        <sz val="10"/>
        <color theme="1"/>
        <rFont val="Calibri"/>
        <family val="2"/>
        <scheme val="minor"/>
      </rPr>
      <t>e</t>
    </r>
    <r>
      <rPr>
        <sz val="10"/>
        <color theme="1"/>
        <rFont val="Calibri"/>
        <family val="2"/>
        <scheme val="minor"/>
      </rPr>
      <t>Estimated TAP Rider Adjustment Percentage</t>
    </r>
  </si>
  <si>
    <t>% Adjustment</t>
  </si>
  <si>
    <t>($/Mcf)</t>
  </si>
  <si>
    <r>
      <t>QR = Quantity Revenue Under Approved Rates  for Next FY</t>
    </r>
    <r>
      <rPr>
        <vertAlign val="superscript"/>
        <sz val="11"/>
        <color theme="1"/>
        <rFont val="Calibri"/>
        <family val="2"/>
        <scheme val="minor"/>
      </rPr>
      <t>d</t>
    </r>
  </si>
  <si>
    <r>
      <rPr>
        <vertAlign val="superscript"/>
        <sz val="10"/>
        <color theme="1"/>
        <rFont val="Calibri"/>
        <family val="2"/>
        <scheme val="minor"/>
      </rPr>
      <t>d</t>
    </r>
    <r>
      <rPr>
        <sz val="10"/>
        <color theme="1"/>
        <rFont val="Calibri"/>
        <family val="2"/>
        <scheme val="minor"/>
      </rPr>
      <t xml:space="preserve">Estimated quantity revenue under approved rates for the next period. </t>
    </r>
  </si>
  <si>
    <t>Water Quantity Charges</t>
  </si>
  <si>
    <t xml:space="preserve">Sewer Quantity Charges </t>
  </si>
  <si>
    <t xml:space="preserve">Water Quantity Charge - True-Up Rates </t>
  </si>
  <si>
    <t xml:space="preserve">Sewer Quantity Charge - True-Up Rates </t>
  </si>
  <si>
    <t>Water Quantity Charge</t>
  </si>
  <si>
    <t xml:space="preserve">Sewer Quantity Charge </t>
  </si>
  <si>
    <t>Line 4 - Line 5</t>
  </si>
  <si>
    <t>Line 2 - Line 1</t>
  </si>
  <si>
    <t>RECONCILABLE COSTS</t>
  </si>
  <si>
    <t>Rates</t>
  </si>
  <si>
    <t>Included in Adopted Rates</t>
  </si>
  <si>
    <t>Net TAP Revenue Loss</t>
  </si>
  <si>
    <t>Experienced</t>
  </si>
  <si>
    <t>Line 3 - Line 6</t>
  </si>
  <si>
    <t>RECONCILABLE COSTS - FROM THE CURRENT PERIOD</t>
  </si>
  <si>
    <t>ADJUSTMENTS - APPLIED TO THE NEXT PERIOD</t>
  </si>
  <si>
    <t>% Increase or (Decrease) Revenue Adjustment</t>
  </si>
  <si>
    <t>CHANGE IN RATES - COMPARISON OF ADOPTED VERSUS ADJUSTED RATES</t>
  </si>
  <si>
    <t>L - FACTOR</t>
  </si>
  <si>
    <t>E - FACTOR</t>
  </si>
  <si>
    <t xml:space="preserve">L - E </t>
  </si>
  <si>
    <t xml:space="preserve">TAP Adjustment (%) </t>
  </si>
  <si>
    <t xml:space="preserve">Water Quantity Charges - Rate Case Adopted </t>
  </si>
  <si>
    <t xml:space="preserve">Sewer Quantity Charges - Rate Case Adopted </t>
  </si>
  <si>
    <t>Table 1 - EXAMPLE Calculation of TAP Rate Rider Adjustment Effective July 1, 2019 (FY 2020)</t>
  </si>
  <si>
    <r>
      <t xml:space="preserve">Assumed LiCAP Costs </t>
    </r>
    <r>
      <rPr>
        <vertAlign val="superscript"/>
        <sz val="11"/>
        <color theme="1"/>
        <rFont val="Calibri"/>
        <family val="2"/>
        <scheme val="minor"/>
      </rPr>
      <t>1</t>
    </r>
  </si>
  <si>
    <t>Table 3 - EXAMPLE Calculation of TAP Rate Rider Adjustment Effective July 1, 2019 (FY 2020)</t>
  </si>
  <si>
    <t>Reconcilable TAP Rate Rider Adjustment Amount</t>
  </si>
  <si>
    <t>From Line 7 Column A above</t>
  </si>
  <si>
    <t>RECONCILABLE COSTS - CURRENT PERIOD</t>
  </si>
  <si>
    <t>ADJUSTMENT - APPLIED TO NEXT PERIOD</t>
  </si>
  <si>
    <t xml:space="preserve">CHANGE IN RATES </t>
  </si>
  <si>
    <t>CALCULATION REFERENCE</t>
  </si>
  <si>
    <r>
      <t>Actual LiCAP Costs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</si>
  <si>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r>
      <t>Assumed Tap Revenue Loss</t>
    </r>
    <r>
      <rPr>
        <vertAlign val="superscript"/>
        <sz val="11"/>
        <color theme="1"/>
        <rFont val="Calibri"/>
        <family val="2"/>
        <scheme val="minor"/>
      </rPr>
      <t>3</t>
    </r>
  </si>
  <si>
    <r>
      <t>Actual Tap Revenue Loss</t>
    </r>
    <r>
      <rPr>
        <vertAlign val="superscript"/>
        <sz val="11"/>
        <color theme="1"/>
        <rFont val="Calibri"/>
        <family val="2"/>
        <scheme val="minor"/>
      </rPr>
      <t>4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</si>
  <si>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Assumed LiCAP Costs included in adopted rates for FY 2019 reflects FY 2018 budgeted amount x spend factor x escalation rate.  </t>
    </r>
  </si>
  <si>
    <r>
      <rPr>
        <vertAlign val="super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Assumed TAP Revenue Loss Costs as included in adopted rates for FY 2019 reflect the projected TAP Revenue Loss as included in the Financial Plan and Cost of Service Analysis.</t>
    </r>
  </si>
  <si>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Actual experience will be based upon actually invoices paid to LiCAP vendors during the fiscal year.  Estimates for remaining months will be developed to provide a full year estimated actual. </t>
    </r>
  </si>
  <si>
    <r>
      <rPr>
        <vertAlign val="superscript"/>
        <sz val="9"/>
        <color theme="1"/>
        <rFont val="Calibri"/>
        <family val="2"/>
        <scheme val="minor"/>
      </rPr>
      <t>5</t>
    </r>
    <r>
      <rPr>
        <sz val="9"/>
        <color theme="1"/>
        <rFont val="Calibri"/>
        <family val="2"/>
        <scheme val="minor"/>
      </rPr>
      <t xml:space="preserve"> The water portion of the TAP Rider adjustment is based on the water system's percentage of total revenue requirements.</t>
    </r>
  </si>
  <si>
    <r>
      <t>Water Quantity Revenue Under Approved Rates</t>
    </r>
    <r>
      <rPr>
        <vertAlign val="superscript"/>
        <sz val="11"/>
        <color theme="1"/>
        <rFont val="Calibri"/>
        <family val="2"/>
        <scheme val="minor"/>
      </rPr>
      <t>6</t>
    </r>
  </si>
  <si>
    <r>
      <t>Water Portion of TAP Adjustment</t>
    </r>
    <r>
      <rPr>
        <vertAlign val="superscript"/>
        <sz val="11"/>
        <color theme="1"/>
        <rFont val="Calibri"/>
        <family val="2"/>
        <scheme val="minor"/>
      </rPr>
      <t>5</t>
    </r>
  </si>
  <si>
    <r>
      <t xml:space="preserve">Wastewater Portion of TAP Adjustment </t>
    </r>
    <r>
      <rPr>
        <vertAlign val="superscript"/>
        <sz val="11"/>
        <color theme="1"/>
        <rFont val="Calibri"/>
        <family val="2"/>
        <scheme val="minor"/>
      </rPr>
      <t>7</t>
    </r>
  </si>
  <si>
    <r>
      <t>Sewer Quantity Revenue Under Approved Rates</t>
    </r>
    <r>
      <rPr>
        <vertAlign val="superscript"/>
        <sz val="11"/>
        <color theme="1"/>
        <rFont val="Calibri"/>
        <family val="2"/>
        <scheme val="minor"/>
      </rPr>
      <t>8</t>
    </r>
  </si>
  <si>
    <t>45% x  Line 8</t>
  </si>
  <si>
    <t>Line 9  / Line 10</t>
  </si>
  <si>
    <t>Line 12 x (1 + Line 11)</t>
  </si>
  <si>
    <t>Line 13 x (1 + Line 11)</t>
  </si>
  <si>
    <t>Line 14 x (1 + Line 11)</t>
  </si>
  <si>
    <t>Line 15 x (1 + Line 11)</t>
  </si>
  <si>
    <t>55% x  Line 8</t>
  </si>
  <si>
    <t>Line 20 / Line 21</t>
  </si>
  <si>
    <t>Line 23 x (1 + Line 22)</t>
  </si>
  <si>
    <t>Line 24 - Line 23</t>
  </si>
  <si>
    <t>Line 16 - Line 12</t>
  </si>
  <si>
    <t>Line 17 - Line 13</t>
  </si>
  <si>
    <t>Line 18 - Line 14</t>
  </si>
  <si>
    <t>Line 19 - Line 15</t>
  </si>
  <si>
    <t>L-E (Water)</t>
  </si>
  <si>
    <t>QR (Water)</t>
  </si>
  <si>
    <t>QR (Wastewater)</t>
  </si>
  <si>
    <t>WATER</t>
  </si>
  <si>
    <t>L-E (Wastewater)</t>
  </si>
  <si>
    <t>RATE CASE
ADOPTED RATES</t>
  </si>
  <si>
    <t>TAP RATE RIDER 
ADJUSTED RATES</t>
  </si>
  <si>
    <t>CHANGE IN 
WATER QUANTITY RATES</t>
  </si>
  <si>
    <t>CHANGE IS SEWER QUANITY RATE</t>
  </si>
  <si>
    <r>
      <rPr>
        <vertAlign val="superscript"/>
        <sz val="9"/>
        <color theme="1"/>
        <rFont val="Calibri"/>
        <family val="2"/>
        <scheme val="minor"/>
      </rPr>
      <t>7</t>
    </r>
    <r>
      <rPr>
        <sz val="9"/>
        <color theme="1"/>
        <rFont val="Calibri"/>
        <family val="2"/>
        <scheme val="minor"/>
      </rPr>
      <t xml:space="preserve"> The wastewater portion of the TAP Rider adjustment is based on wastewater system's percentage of the total revenue requirements. </t>
    </r>
  </si>
  <si>
    <t>WASTEWATER</t>
  </si>
  <si>
    <t>WATER QUANTITY RATES</t>
  </si>
  <si>
    <t>SEWER QUANTITY RATES</t>
  </si>
  <si>
    <t>ADJUSTMENTS</t>
  </si>
  <si>
    <r>
      <rPr>
        <vertAlign val="superscript"/>
        <sz val="9"/>
        <color theme="1"/>
        <rFont val="Calibri"/>
        <family val="2"/>
        <scheme val="minor"/>
      </rPr>
      <t>6</t>
    </r>
    <r>
      <rPr>
        <sz val="9"/>
        <color theme="1"/>
        <rFont val="Calibri"/>
        <family val="2"/>
        <scheme val="minor"/>
      </rPr>
      <t xml:space="preserve"> The amount of revenue the adopted water quanity rates are designed to generate in FY 2020.</t>
    </r>
  </si>
  <si>
    <r>
      <rPr>
        <vertAlign val="superscript"/>
        <sz val="9"/>
        <color theme="1"/>
        <rFont val="Calibri"/>
        <family val="2"/>
        <scheme val="minor"/>
      </rPr>
      <t>8</t>
    </r>
    <r>
      <rPr>
        <sz val="9"/>
        <color theme="1"/>
        <rFont val="Calibri"/>
        <family val="2"/>
        <scheme val="minor"/>
      </rPr>
      <t xml:space="preserve"> The amount of revenue the adopted sewer quanity rates are designed to generate in FY 2020.</t>
    </r>
  </si>
  <si>
    <t>Note - calculations are not rounded</t>
  </si>
  <si>
    <t>TAP RATE RIDER ADJUSTED RATE</t>
  </si>
  <si>
    <t>RATE CASE ADOPTED RATE</t>
  </si>
  <si>
    <r>
      <rPr>
        <vertAlign val="superscript"/>
        <sz val="9"/>
        <color theme="1"/>
        <rFont val="Calibri"/>
        <family val="2"/>
        <scheme val="minor"/>
      </rPr>
      <t>4</t>
    </r>
    <r>
      <rPr>
        <sz val="9"/>
        <color theme="1"/>
        <rFont val="Calibri"/>
        <family val="2"/>
        <scheme val="minor"/>
      </rPr>
      <t xml:space="preserve"> Actual experience will be based upon actual discounts provided to TAP customers during the fiscal year. Estimates for remaining months will be developed to provide a full year estimated actual revenue loss. </t>
    </r>
  </si>
  <si>
    <t>Billings</t>
  </si>
  <si>
    <t>Table 4 - EXAMPLE Resulting Billings under TAP Rate Rider Adjustment Effective July 1, 2019 (FY 2020)</t>
  </si>
  <si>
    <t/>
  </si>
  <si>
    <t xml:space="preserve">Projected Quantity </t>
  </si>
  <si>
    <t>Table 2 - EXAMPLE Application of TAP Rate Rider Adjustment Effective July 1, 2019 (FY 2020)</t>
  </si>
  <si>
    <t>$ Difference</t>
  </si>
  <si>
    <t xml:space="preserve">Rider Adjustment% 
</t>
  </si>
  <si>
    <t>Rider 
Adjustment 
Amount</t>
  </si>
  <si>
    <t>Total TAP Rate Rider Adjustment Amount</t>
  </si>
  <si>
    <r>
      <t xml:space="preserve">(10% </t>
    </r>
    <r>
      <rPr>
        <b/>
        <i/>
        <sz val="11"/>
        <color rgb="FF0070C0"/>
        <rFont val="Calibri"/>
        <family val="2"/>
        <scheme val="minor"/>
      </rPr>
      <t>Decrease</t>
    </r>
    <r>
      <rPr>
        <i/>
        <sz val="11"/>
        <color rgb="FF0070C0"/>
        <rFont val="Calibri"/>
        <family val="2"/>
        <scheme val="minor"/>
      </rPr>
      <t xml:space="preserve"> in LiCAP and TAP Costs)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</si>
</sst>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.000_);_(&quot;$&quot;* \(#,##0.000\);_(&quot;$&quot;* &quot;-&quot;??_);_(@_)"/>
    <numFmt numFmtId="167" formatCode="_(&quot;$&quot;* #,##0_);_(&quot;$&quot;* \(#,##0\);_(&quot;$&quot;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color theme="3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 tint="-0.14996795556505021"/>
      </top>
      <bottom style="thin">
        <color theme="0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</cellStyleXfs>
  <cellXfs count="225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3" fillId="0" borderId="0" xfId="0" applyFont="1" applyBorder="1" applyAlignment="1">
      <alignment horizontal="center"/>
    </xf>
    <xf numFmtId="167" fontId="0" fillId="0" borderId="0" xfId="0" applyNumberFormat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3" fillId="4" borderId="0" xfId="0" applyFont="1" applyFill="1" applyAlignment="1">
      <alignment horizontal="centerContinuous"/>
    </xf>
    <xf numFmtId="0" fontId="0" fillId="4" borderId="0" xfId="0" applyFill="1" applyAlignment="1">
      <alignment horizontal="centerContinuous"/>
    </xf>
    <xf numFmtId="0" fontId="0" fillId="6" borderId="11" xfId="0" applyFill="1" applyBorder="1"/>
    <xf numFmtId="0" fontId="0" fillId="6" borderId="4" xfId="0" applyFill="1" applyBorder="1"/>
    <xf numFmtId="0" fontId="0" fillId="6" borderId="12" xfId="0" applyFill="1" applyBorder="1"/>
    <xf numFmtId="0" fontId="0" fillId="6" borderId="0" xfId="0" applyFill="1" applyBorder="1"/>
    <xf numFmtId="0" fontId="0" fillId="6" borderId="2" xfId="0" applyFill="1" applyBorder="1"/>
    <xf numFmtId="0" fontId="0" fillId="6" borderId="0" xfId="0" quotePrefix="1" applyFill="1" applyBorder="1"/>
    <xf numFmtId="0" fontId="0" fillId="6" borderId="0" xfId="0" applyFill="1" applyBorder="1" applyAlignment="1">
      <alignment horizontal="left" indent="3"/>
    </xf>
    <xf numFmtId="165" fontId="0" fillId="6" borderId="0" xfId="1" applyNumberFormat="1" applyFont="1" applyFill="1" applyBorder="1"/>
    <xf numFmtId="0" fontId="3" fillId="6" borderId="0" xfId="0" applyFont="1" applyFill="1" applyBorder="1"/>
    <xf numFmtId="0" fontId="0" fillId="6" borderId="10" xfId="0" applyFill="1" applyBorder="1"/>
    <xf numFmtId="0" fontId="0" fillId="6" borderId="1" xfId="0" applyFill="1" applyBorder="1"/>
    <xf numFmtId="0" fontId="3" fillId="6" borderId="0" xfId="0" quotePrefix="1" applyFont="1" applyFill="1" applyBorder="1"/>
    <xf numFmtId="0" fontId="3" fillId="6" borderId="1" xfId="0" quotePrefix="1" applyFont="1" applyFill="1" applyBorder="1"/>
    <xf numFmtId="166" fontId="0" fillId="6" borderId="1" xfId="0" applyNumberFormat="1" applyFill="1" applyBorder="1"/>
    <xf numFmtId="0" fontId="0" fillId="0" borderId="0" xfId="0" applyBorder="1" applyAlignment="1">
      <alignment horizontal="left" indent="2"/>
    </xf>
    <xf numFmtId="167" fontId="4" fillId="0" borderId="0" xfId="2" applyNumberFormat="1" applyFont="1" applyFill="1" applyBorder="1"/>
    <xf numFmtId="0" fontId="0" fillId="5" borderId="0" xfId="0" applyFill="1"/>
    <xf numFmtId="44" fontId="0" fillId="5" borderId="0" xfId="0" applyNumberFormat="1" applyFill="1"/>
    <xf numFmtId="0" fontId="0" fillId="6" borderId="12" xfId="0" quotePrefix="1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11" fillId="0" borderId="0" xfId="0" applyFont="1"/>
    <xf numFmtId="0" fontId="0" fillId="6" borderId="0" xfId="0" applyFill="1" applyBorder="1" applyAlignment="1">
      <alignment horizontal="left" indent="2"/>
    </xf>
    <xf numFmtId="0" fontId="14" fillId="0" borderId="0" xfId="0" applyFont="1"/>
    <xf numFmtId="0" fontId="3" fillId="6" borderId="0" xfId="0" applyFont="1" applyFill="1" applyBorder="1" applyAlignment="1">
      <alignment horizontal="center"/>
    </xf>
    <xf numFmtId="0" fontId="15" fillId="6" borderId="4" xfId="0" applyFont="1" applyFill="1" applyBorder="1" applyAlignment="1">
      <alignment horizontal="centerContinuous"/>
    </xf>
    <xf numFmtId="0" fontId="15" fillId="6" borderId="4" xfId="0" applyFont="1" applyFill="1" applyBorder="1"/>
    <xf numFmtId="0" fontId="15" fillId="6" borderId="0" xfId="0" applyFont="1" applyFill="1" applyBorder="1" applyAlignment="1">
      <alignment horizontal="centerContinuous"/>
    </xf>
    <xf numFmtId="0" fontId="15" fillId="6" borderId="0" xfId="0" applyFont="1" applyFill="1" applyBorder="1"/>
    <xf numFmtId="167" fontId="0" fillId="6" borderId="0" xfId="0" applyNumberFormat="1" applyFill="1" applyBorder="1"/>
    <xf numFmtId="0" fontId="3" fillId="5" borderId="0" xfId="0" applyFont="1" applyFill="1" applyAlignment="1">
      <alignment horizontal="left" indent="2"/>
    </xf>
    <xf numFmtId="167" fontId="4" fillId="2" borderId="9" xfId="2" applyNumberFormat="1" applyFont="1" applyFill="1" applyBorder="1" applyAlignment="1">
      <alignment vertical="center"/>
    </xf>
    <xf numFmtId="167" fontId="4" fillId="2" borderId="0" xfId="2" applyNumberFormat="1" applyFont="1" applyFill="1" applyBorder="1"/>
    <xf numFmtId="44" fontId="4" fillId="2" borderId="6" xfId="2" applyNumberFormat="1" applyFont="1" applyFill="1" applyBorder="1"/>
    <xf numFmtId="44" fontId="4" fillId="2" borderId="7" xfId="2" applyNumberFormat="1" applyFont="1" applyFill="1" applyBorder="1"/>
    <xf numFmtId="44" fontId="4" fillId="2" borderId="8" xfId="2" applyNumberFormat="1" applyFont="1" applyFill="1" applyBorder="1"/>
    <xf numFmtId="44" fontId="4" fillId="2" borderId="9" xfId="2" applyNumberFormat="1" applyFont="1" applyFill="1" applyBorder="1"/>
    <xf numFmtId="0" fontId="0" fillId="0" borderId="0" xfId="0" applyFill="1" applyBorder="1" applyAlignment="1">
      <alignment horizontal="left" indent="2"/>
    </xf>
    <xf numFmtId="44" fontId="4" fillId="0" borderId="0" xfId="2" applyNumberFormat="1" applyFont="1" applyFill="1" applyBorder="1"/>
    <xf numFmtId="164" fontId="4" fillId="0" borderId="0" xfId="3" applyNumberFormat="1" applyFont="1" applyFill="1" applyBorder="1"/>
    <xf numFmtId="0" fontId="3" fillId="0" borderId="0" xfId="0" applyFont="1" applyFill="1" applyAlignment="1">
      <alignment horizontal="center"/>
    </xf>
    <xf numFmtId="0" fontId="0" fillId="0" borderId="0" xfId="0" applyBorder="1" applyAlignment="1">
      <alignment horizontal="right" indent="2"/>
    </xf>
    <xf numFmtId="0" fontId="7" fillId="3" borderId="15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left"/>
    </xf>
    <xf numFmtId="0" fontId="5" fillId="0" borderId="0" xfId="0" applyFont="1" applyFill="1" applyBorder="1"/>
    <xf numFmtId="167" fontId="4" fillId="2" borderId="16" xfId="2" applyNumberFormat="1" applyFont="1" applyFill="1" applyBorder="1"/>
    <xf numFmtId="0" fontId="3" fillId="5" borderId="17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left" indent="2"/>
    </xf>
    <xf numFmtId="0" fontId="0" fillId="5" borderId="0" xfId="0" applyFill="1" applyBorder="1" applyAlignment="1">
      <alignment horizontal="left" indent="2"/>
    </xf>
    <xf numFmtId="0" fontId="0" fillId="0" borderId="0" xfId="0" applyFill="1" applyBorder="1" applyAlignment="1">
      <alignment horizontal="right" indent="2"/>
    </xf>
    <xf numFmtId="0" fontId="0" fillId="0" borderId="18" xfId="0" applyFill="1" applyBorder="1" applyAlignment="1">
      <alignment horizontal="center"/>
    </xf>
    <xf numFmtId="0" fontId="0" fillId="0" borderId="18" xfId="0" applyFill="1" applyBorder="1" applyAlignment="1">
      <alignment horizontal="right" indent="2"/>
    </xf>
    <xf numFmtId="0" fontId="0" fillId="0" borderId="18" xfId="0" applyFill="1" applyBorder="1" applyAlignment="1">
      <alignment horizontal="left" indent="2"/>
    </xf>
    <xf numFmtId="0" fontId="0" fillId="0" borderId="0" xfId="0" applyFill="1" applyBorder="1" applyAlignment="1">
      <alignment horizontal="center"/>
    </xf>
    <xf numFmtId="0" fontId="5" fillId="0" borderId="0" xfId="0" applyFont="1" applyFill="1"/>
    <xf numFmtId="44" fontId="5" fillId="0" borderId="0" xfId="2" applyNumberFormat="1" applyFont="1" applyFill="1" applyBorder="1"/>
    <xf numFmtId="0" fontId="0" fillId="0" borderId="0" xfId="0" applyBorder="1" applyAlignment="1"/>
    <xf numFmtId="0" fontId="0" fillId="0" borderId="0" xfId="0" applyFill="1" applyBorder="1" applyAlignment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right"/>
    </xf>
    <xf numFmtId="0" fontId="7" fillId="3" borderId="15" xfId="0" applyFont="1" applyFill="1" applyBorder="1" applyAlignment="1"/>
    <xf numFmtId="0" fontId="0" fillId="0" borderId="0" xfId="0" applyAlignment="1"/>
    <xf numFmtId="0" fontId="3" fillId="5" borderId="17" xfId="0" applyFont="1" applyFill="1" applyBorder="1" applyAlignment="1"/>
    <xf numFmtId="0" fontId="17" fillId="0" borderId="0" xfId="0" applyFont="1" applyBorder="1" applyAlignment="1"/>
    <xf numFmtId="167" fontId="0" fillId="6" borderId="0" xfId="2" applyNumberFormat="1" applyFont="1" applyFill="1" applyBorder="1"/>
    <xf numFmtId="167" fontId="0" fillId="6" borderId="0" xfId="2" applyNumberFormat="1" applyFont="1" applyFill="1" applyBorder="1" applyAlignment="1">
      <alignment horizontal="left" indent="2"/>
    </xf>
    <xf numFmtId="167" fontId="0" fillId="6" borderId="0" xfId="0" quotePrefix="1" applyNumberFormat="1" applyFill="1" applyBorder="1"/>
    <xf numFmtId="167" fontId="0" fillId="6" borderId="0" xfId="0" applyNumberFormat="1" applyFill="1" applyBorder="1" applyAlignment="1">
      <alignment horizontal="left" indent="3"/>
    </xf>
    <xf numFmtId="0" fontId="6" fillId="0" borderId="0" xfId="0" applyFont="1" applyFill="1" applyBorder="1" applyAlignment="1">
      <alignment horizontal="center"/>
    </xf>
    <xf numFmtId="164" fontId="4" fillId="0" borderId="0" xfId="3" applyNumberFormat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1" fillId="5" borderId="0" xfId="0" applyFont="1" applyFill="1" applyAlignment="1">
      <alignment horizontal="center"/>
    </xf>
    <xf numFmtId="44" fontId="11" fillId="5" borderId="0" xfId="0" applyNumberFormat="1" applyFont="1" applyFill="1" applyAlignment="1">
      <alignment horizontal="center"/>
    </xf>
    <xf numFmtId="0" fontId="15" fillId="6" borderId="5" xfId="0" applyFont="1" applyFill="1" applyBorder="1" applyAlignment="1">
      <alignment horizontal="centerContinuous"/>
    </xf>
    <xf numFmtId="0" fontId="15" fillId="6" borderId="2" xfId="0" applyFont="1" applyFill="1" applyBorder="1" applyAlignment="1">
      <alignment horizontal="centerContinuous"/>
    </xf>
    <xf numFmtId="167" fontId="0" fillId="6" borderId="2" xfId="0" applyNumberFormat="1" applyFill="1" applyBorder="1"/>
    <xf numFmtId="167" fontId="0" fillId="6" borderId="2" xfId="2" applyNumberFormat="1" applyFont="1" applyFill="1" applyBorder="1"/>
    <xf numFmtId="165" fontId="0" fillId="6" borderId="2" xfId="1" applyNumberFormat="1" applyFont="1" applyFill="1" applyBorder="1"/>
    <xf numFmtId="0" fontId="3" fillId="6" borderId="3" xfId="0" quotePrefix="1" applyFont="1" applyFill="1" applyBorder="1"/>
    <xf numFmtId="0" fontId="3" fillId="6" borderId="2" xfId="0" applyFont="1" applyFill="1" applyBorder="1" applyAlignment="1">
      <alignment horizontal="center"/>
    </xf>
    <xf numFmtId="164" fontId="1" fillId="6" borderId="0" xfId="3" applyNumberFormat="1" applyFont="1" applyFill="1" applyBorder="1"/>
    <xf numFmtId="164" fontId="0" fillId="6" borderId="0" xfId="3" applyNumberFormat="1" applyFont="1" applyFill="1" applyBorder="1"/>
    <xf numFmtId="164" fontId="0" fillId="6" borderId="2" xfId="3" applyNumberFormat="1" applyFont="1" applyFill="1" applyBorder="1"/>
    <xf numFmtId="0" fontId="15" fillId="6" borderId="1" xfId="0" applyFont="1" applyFill="1" applyBorder="1" applyAlignment="1">
      <alignment horizontal="centerContinuous"/>
    </xf>
    <xf numFmtId="167" fontId="5" fillId="7" borderId="0" xfId="2" applyNumberFormat="1" applyFont="1" applyFill="1" applyBorder="1"/>
    <xf numFmtId="164" fontId="5" fillId="7" borderId="0" xfId="3" applyNumberFormat="1" applyFont="1" applyFill="1" applyBorder="1"/>
    <xf numFmtId="0" fontId="2" fillId="3" borderId="15" xfId="0" applyFont="1" applyFill="1" applyBorder="1" applyAlignment="1">
      <alignment horizontal="right"/>
    </xf>
    <xf numFmtId="0" fontId="2" fillId="3" borderId="14" xfId="0" applyFont="1" applyFill="1" applyBorder="1" applyAlignment="1">
      <alignment horizontal="center"/>
    </xf>
    <xf numFmtId="0" fontId="17" fillId="0" borderId="0" xfId="0" applyFont="1" applyFill="1" applyBorder="1" applyAlignment="1"/>
    <xf numFmtId="0" fontId="17" fillId="0" borderId="18" xfId="0" applyFont="1" applyFill="1" applyBorder="1" applyAlignment="1"/>
    <xf numFmtId="0" fontId="0" fillId="0" borderId="16" xfId="0" applyFill="1" applyBorder="1"/>
    <xf numFmtId="167" fontId="4" fillId="0" borderId="16" xfId="2" applyNumberFormat="1" applyFont="1" applyFill="1" applyBorder="1"/>
    <xf numFmtId="167" fontId="5" fillId="0" borderId="0" xfId="2" applyNumberFormat="1" applyFont="1" applyFill="1" applyBorder="1"/>
    <xf numFmtId="44" fontId="4" fillId="0" borderId="2" xfId="2" applyNumberFormat="1" applyFont="1" applyFill="1" applyBorder="1"/>
    <xf numFmtId="44" fontId="5" fillId="0" borderId="2" xfId="2" applyNumberFormat="1" applyFont="1" applyFill="1" applyBorder="1"/>
    <xf numFmtId="44" fontId="5" fillId="8" borderId="2" xfId="2" applyNumberFormat="1" applyFont="1" applyFill="1" applyBorder="1"/>
    <xf numFmtId="0" fontId="0" fillId="0" borderId="2" xfId="0" applyFill="1" applyBorder="1"/>
    <xf numFmtId="44" fontId="5" fillId="7" borderId="8" xfId="2" applyNumberFormat="1" applyFont="1" applyFill="1" applyBorder="1"/>
    <xf numFmtId="44" fontId="5" fillId="7" borderId="6" xfId="2" applyNumberFormat="1" applyFont="1" applyFill="1" applyBorder="1"/>
    <xf numFmtId="44" fontId="5" fillId="7" borderId="7" xfId="2" applyNumberFormat="1" applyFont="1" applyFill="1" applyBorder="1"/>
    <xf numFmtId="44" fontId="5" fillId="7" borderId="9" xfId="2" applyNumberFormat="1" applyFont="1" applyFill="1" applyBorder="1"/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3" fillId="5" borderId="17" xfId="0" applyFont="1" applyFill="1" applyBorder="1" applyAlignment="1">
      <alignment horizontal="left" indent="1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/>
    </xf>
    <xf numFmtId="0" fontId="23" fillId="0" borderId="15" xfId="0" applyFont="1" applyFill="1" applyBorder="1" applyAlignment="1">
      <alignment horizontal="center"/>
    </xf>
    <xf numFmtId="0" fontId="23" fillId="0" borderId="17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5" fillId="0" borderId="17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5" borderId="0" xfId="0" applyFont="1" applyFill="1" applyBorder="1" applyAlignment="1">
      <alignment horizontal="left" indent="2"/>
    </xf>
    <xf numFmtId="0" fontId="3" fillId="4" borderId="0" xfId="0" applyFont="1" applyFill="1" applyBorder="1" applyAlignment="1">
      <alignment horizontal="centerContinuous"/>
    </xf>
    <xf numFmtId="0" fontId="14" fillId="0" borderId="0" xfId="0" applyFont="1" applyBorder="1"/>
    <xf numFmtId="0" fontId="14" fillId="0" borderId="0" xfId="0" applyFont="1" applyBorder="1" applyAlignment="1"/>
    <xf numFmtId="0" fontId="3" fillId="5" borderId="0" xfId="0" applyFont="1" applyFill="1" applyBorder="1" applyAlignment="1">
      <alignment horizontal="center"/>
    </xf>
    <xf numFmtId="0" fontId="3" fillId="5" borderId="0" xfId="0" applyFont="1" applyFill="1" applyBorder="1" applyAlignment="1"/>
    <xf numFmtId="0" fontId="1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indent="2"/>
    </xf>
    <xf numFmtId="167" fontId="0" fillId="0" borderId="0" xfId="0" applyNumberFormat="1" applyFill="1" applyBorder="1"/>
    <xf numFmtId="167" fontId="0" fillId="0" borderId="0" xfId="2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/>
    <xf numFmtId="167" fontId="4" fillId="0" borderId="0" xfId="2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right" indent="2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right" indent="1"/>
    </xf>
    <xf numFmtId="0" fontId="5" fillId="0" borderId="0" xfId="0" applyFont="1" applyBorder="1" applyAlignment="1">
      <alignment horizontal="center"/>
    </xf>
    <xf numFmtId="0" fontId="20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/>
    <xf numFmtId="0" fontId="2" fillId="3" borderId="0" xfId="0" applyFont="1" applyFill="1" applyBorder="1" applyAlignment="1">
      <alignment horizontal="right"/>
    </xf>
    <xf numFmtId="0" fontId="3" fillId="5" borderId="19" xfId="0" applyFont="1" applyFill="1" applyBorder="1" applyAlignment="1">
      <alignment horizontal="left" indent="2"/>
    </xf>
    <xf numFmtId="0" fontId="3" fillId="5" borderId="19" xfId="0" applyFont="1" applyFill="1" applyBorder="1" applyAlignment="1"/>
    <xf numFmtId="0" fontId="3" fillId="5" borderId="20" xfId="0" applyFont="1" applyFill="1" applyBorder="1" applyAlignment="1">
      <alignment horizontal="center"/>
    </xf>
    <xf numFmtId="0" fontId="5" fillId="0" borderId="12" xfId="0" applyFont="1" applyFill="1" applyBorder="1"/>
    <xf numFmtId="0" fontId="5" fillId="0" borderId="2" xfId="0" applyFont="1" applyFill="1" applyBorder="1"/>
    <xf numFmtId="0" fontId="5" fillId="0" borderId="10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indent="2"/>
    </xf>
    <xf numFmtId="0" fontId="0" fillId="0" borderId="1" xfId="0" applyBorder="1" applyAlignment="1"/>
    <xf numFmtId="0" fontId="0" fillId="0" borderId="1" xfId="0" applyBorder="1"/>
    <xf numFmtId="167" fontId="0" fillId="0" borderId="1" xfId="0" applyNumberFormat="1" applyBorder="1"/>
    <xf numFmtId="0" fontId="5" fillId="0" borderId="3" xfId="0" applyFont="1" applyFill="1" applyBorder="1"/>
    <xf numFmtId="0" fontId="0" fillId="0" borderId="11" xfId="0" applyFill="1" applyBorder="1"/>
    <xf numFmtId="0" fontId="0" fillId="0" borderId="4" xfId="0" applyBorder="1" applyAlignment="1">
      <alignment horizontal="center"/>
    </xf>
    <xf numFmtId="0" fontId="14" fillId="0" borderId="4" xfId="0" applyFont="1" applyBorder="1"/>
    <xf numFmtId="0" fontId="14" fillId="0" borderId="4" xfId="0" applyFont="1" applyBorder="1" applyAlignment="1"/>
    <xf numFmtId="0" fontId="0" fillId="0" borderId="4" xfId="0" applyBorder="1"/>
    <xf numFmtId="0" fontId="8" fillId="0" borderId="4" xfId="0" applyFont="1" applyBorder="1" applyAlignment="1">
      <alignment horizontal="center"/>
    </xf>
    <xf numFmtId="0" fontId="0" fillId="0" borderId="5" xfId="0" applyFill="1" applyBorder="1"/>
    <xf numFmtId="0" fontId="3" fillId="0" borderId="0" xfId="0" applyFont="1" applyFill="1" applyBorder="1" applyAlignment="1">
      <alignment horizontal="centerContinuous"/>
    </xf>
    <xf numFmtId="44" fontId="27" fillId="0" borderId="0" xfId="2" applyNumberFormat="1" applyFont="1" applyFill="1" applyBorder="1" applyAlignment="1">
      <alignment horizontal="right"/>
    </xf>
    <xf numFmtId="9" fontId="17" fillId="0" borderId="0" xfId="3" applyFont="1" applyBorder="1" applyAlignment="1">
      <alignment horizontal="center"/>
    </xf>
    <xf numFmtId="0" fontId="19" fillId="0" borderId="0" xfId="0" applyFont="1" applyAlignment="1">
      <alignment horizontal="centerContinuous"/>
    </xf>
    <xf numFmtId="0" fontId="18" fillId="0" borderId="0" xfId="0" applyFont="1" applyAlignment="1">
      <alignment horizontal="centerContinuous"/>
    </xf>
    <xf numFmtId="44" fontId="4" fillId="0" borderId="0" xfId="2" applyFont="1" applyFill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5" borderId="21" xfId="0" applyFill="1" applyBorder="1"/>
    <xf numFmtId="44" fontId="4" fillId="0" borderId="21" xfId="2" applyNumberFormat="1" applyFont="1" applyFill="1" applyBorder="1"/>
    <xf numFmtId="0" fontId="3" fillId="0" borderId="21" xfId="0" applyFont="1" applyBorder="1" applyAlignment="1">
      <alignment horizontal="center"/>
    </xf>
    <xf numFmtId="44" fontId="0" fillId="5" borderId="21" xfId="0" applyNumberFormat="1" applyFill="1" applyBorder="1"/>
    <xf numFmtId="167" fontId="4" fillId="0" borderId="21" xfId="2" applyNumberFormat="1" applyFont="1" applyFill="1" applyBorder="1"/>
    <xf numFmtId="43" fontId="6" fillId="0" borderId="0" xfId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3" fontId="6" fillId="0" borderId="1" xfId="1" applyFont="1" applyFill="1" applyBorder="1" applyAlignment="1">
      <alignment horizontal="center"/>
    </xf>
    <xf numFmtId="44" fontId="4" fillId="0" borderId="1" xfId="2" applyNumberFormat="1" applyFont="1" applyFill="1" applyBorder="1"/>
    <xf numFmtId="44" fontId="4" fillId="0" borderId="1" xfId="2" applyFont="1" applyFill="1" applyBorder="1" applyAlignment="1">
      <alignment horizontal="center"/>
    </xf>
    <xf numFmtId="44" fontId="4" fillId="0" borderId="22" xfId="2" applyNumberFormat="1" applyFont="1" applyFill="1" applyBorder="1"/>
    <xf numFmtId="44" fontId="4" fillId="0" borderId="0" xfId="2" applyNumberFormat="1" applyFont="1" applyFill="1" applyBorder="1" applyAlignment="1">
      <alignment horizontal="right"/>
    </xf>
    <xf numFmtId="44" fontId="4" fillId="0" borderId="23" xfId="2" applyNumberFormat="1" applyFont="1" applyFill="1" applyBorder="1"/>
    <xf numFmtId="167" fontId="3" fillId="0" borderId="21" xfId="0" applyNumberFormat="1" applyFont="1" applyBorder="1" applyAlignment="1">
      <alignment horizontal="center"/>
    </xf>
    <xf numFmtId="0" fontId="19" fillId="0" borderId="0" xfId="0" quotePrefix="1" applyFont="1" applyAlignment="1">
      <alignment horizontal="centerContinuous"/>
    </xf>
    <xf numFmtId="0" fontId="19" fillId="0" borderId="0" xfId="0" applyFont="1" applyFill="1" applyAlignment="1">
      <alignment horizontal="centerContinuous"/>
    </xf>
    <xf numFmtId="0" fontId="2" fillId="0" borderId="15" xfId="0" applyFont="1" applyFill="1" applyBorder="1" applyAlignment="1">
      <alignment horizontal="center"/>
    </xf>
    <xf numFmtId="44" fontId="0" fillId="0" borderId="0" xfId="0" applyNumberFormat="1" applyFill="1"/>
    <xf numFmtId="0" fontId="18" fillId="0" borderId="21" xfId="0" applyFont="1" applyBorder="1" applyAlignment="1">
      <alignment horizontal="centerContinuous"/>
    </xf>
    <xf numFmtId="0" fontId="11" fillId="5" borderId="21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wrapText="1"/>
    </xf>
    <xf numFmtId="164" fontId="0" fillId="0" borderId="0" xfId="3" applyNumberFormat="1" applyFont="1"/>
    <xf numFmtId="0" fontId="2" fillId="3" borderId="0" xfId="0" applyFont="1" applyFill="1" applyBorder="1" applyAlignment="1">
      <alignment horizontal="center" wrapText="1"/>
    </xf>
    <xf numFmtId="167" fontId="0" fillId="0" borderId="0" xfId="3" applyNumberFormat="1" applyFont="1"/>
    <xf numFmtId="0" fontId="0" fillId="12" borderId="0" xfId="0" applyFill="1" applyAlignment="1">
      <alignment horizontal="center"/>
    </xf>
    <xf numFmtId="0" fontId="3" fillId="12" borderId="0" xfId="0" applyFont="1" applyFill="1" applyBorder="1" applyAlignment="1">
      <alignment horizontal="left" indent="2"/>
    </xf>
    <xf numFmtId="0" fontId="0" fillId="12" borderId="0" xfId="0" applyFill="1"/>
    <xf numFmtId="167" fontId="3" fillId="12" borderId="0" xfId="0" applyNumberFormat="1" applyFont="1" applyFill="1"/>
    <xf numFmtId="0" fontId="28" fillId="4" borderId="0" xfId="0" applyFont="1" applyFill="1" applyAlignment="1">
      <alignment horizontal="centerContinuous"/>
    </xf>
    <xf numFmtId="0" fontId="2" fillId="9" borderId="8" xfId="0" applyFont="1" applyFill="1" applyBorder="1" applyAlignment="1">
      <alignment horizontal="center" vertical="center" textRotation="90" wrapText="1"/>
    </xf>
    <xf numFmtId="0" fontId="2" fillId="9" borderId="6" xfId="0" applyFont="1" applyFill="1" applyBorder="1" applyAlignment="1">
      <alignment horizontal="center" vertical="center" textRotation="90" wrapText="1"/>
    </xf>
    <xf numFmtId="0" fontId="2" fillId="9" borderId="7" xfId="0" applyFont="1" applyFill="1" applyBorder="1" applyAlignment="1">
      <alignment horizontal="center" vertical="center" textRotation="90" wrapText="1"/>
    </xf>
    <xf numFmtId="0" fontId="2" fillId="11" borderId="8" xfId="0" applyFont="1" applyFill="1" applyBorder="1" applyAlignment="1">
      <alignment horizontal="center" vertical="center" textRotation="90"/>
    </xf>
    <xf numFmtId="0" fontId="2" fillId="11" borderId="6" xfId="0" applyFont="1" applyFill="1" applyBorder="1" applyAlignment="1">
      <alignment horizontal="center" vertical="center" textRotation="90"/>
    </xf>
    <xf numFmtId="0" fontId="2" fillId="11" borderId="7" xfId="0" applyFont="1" applyFill="1" applyBorder="1" applyAlignment="1">
      <alignment horizontal="center" vertical="center" textRotation="90"/>
    </xf>
    <xf numFmtId="0" fontId="23" fillId="0" borderId="8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textRotation="90"/>
    </xf>
    <xf numFmtId="0" fontId="2" fillId="10" borderId="6" xfId="0" applyFont="1" applyFill="1" applyBorder="1" applyAlignment="1">
      <alignment horizontal="center" vertical="center" textRotation="90"/>
    </xf>
    <xf numFmtId="0" fontId="2" fillId="10" borderId="7" xfId="0" applyFont="1" applyFill="1" applyBorder="1" applyAlignment="1">
      <alignment horizontal="center" vertical="center" textRotation="90"/>
    </xf>
  </cellXfs>
  <cellStyles count="5">
    <cellStyle name="Comma" xfId="1" builtinId="3"/>
    <cellStyle name="Currency" xfId="2" builtinId="4"/>
    <cellStyle name="Normal" xfId="0" builtinId="0"/>
    <cellStyle name="Normal 2" xfId="4"/>
    <cellStyle name="Percent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26"/>
  <sheetViews>
    <sheetView showGridLines="0" tabSelected="1" zoomScaleNormal="100" workbookViewId="0">
      <selection activeCell="A4" sqref="A4:XFD5"/>
    </sheetView>
  </sheetViews>
  <sheetFormatPr defaultRowHeight="14.5" x14ac:dyDescent="0.35"/>
  <cols>
    <col min="3" max="3" width="53.26953125" customWidth="1"/>
    <col min="4" max="4" width="2.7265625" customWidth="1"/>
    <col min="5" max="5" width="22.7265625" style="2" customWidth="1"/>
    <col min="6" max="6" width="2.7265625" style="2" customWidth="1"/>
    <col min="7" max="7" width="22.7265625" customWidth="1"/>
    <col min="8" max="8" width="1.7265625" style="2" customWidth="1"/>
    <col min="9" max="9" width="22.7265625" style="2" customWidth="1"/>
    <col min="10" max="10" width="1.7265625" style="2" customWidth="1"/>
  </cols>
  <sheetData>
    <row r="2" spans="2:10" ht="15" x14ac:dyDescent="0.25">
      <c r="B2" s="12" t="s">
        <v>1</v>
      </c>
      <c r="C2" s="12"/>
      <c r="D2" s="13"/>
      <c r="E2" s="13"/>
      <c r="F2" s="13"/>
      <c r="G2" s="13"/>
      <c r="H2" s="13"/>
      <c r="I2" s="13"/>
      <c r="J2" s="13"/>
    </row>
    <row r="3" spans="2:10" ht="15" x14ac:dyDescent="0.25">
      <c r="B3" s="12" t="s">
        <v>68</v>
      </c>
      <c r="C3" s="12"/>
      <c r="D3" s="13"/>
      <c r="E3" s="13"/>
      <c r="F3" s="13"/>
      <c r="G3" s="13"/>
      <c r="H3" s="13"/>
      <c r="I3" s="13"/>
      <c r="J3" s="13"/>
    </row>
    <row r="4" spans="2:10" s="2" customFormat="1" x14ac:dyDescent="0.35">
      <c r="B4" s="212" t="s">
        <v>131</v>
      </c>
      <c r="C4" s="12"/>
      <c r="D4" s="13"/>
      <c r="E4" s="13"/>
      <c r="F4" s="13"/>
      <c r="G4" s="13"/>
      <c r="H4" s="13"/>
      <c r="I4" s="13"/>
      <c r="J4" s="13"/>
    </row>
    <row r="5" spans="2:10" s="2" customFormat="1" ht="15" x14ac:dyDescent="0.25">
      <c r="C5" s="1"/>
      <c r="D5" s="5"/>
      <c r="E5" s="5"/>
      <c r="F5" s="5"/>
      <c r="G5" s="5"/>
      <c r="H5" s="5"/>
      <c r="I5" s="5"/>
      <c r="J5" s="5"/>
    </row>
    <row r="6" spans="2:10" s="2" customFormat="1" ht="5.15" customHeight="1" x14ac:dyDescent="0.25">
      <c r="B6" s="14"/>
      <c r="C6" s="15"/>
      <c r="D6" s="15"/>
      <c r="E6" s="38"/>
      <c r="F6" s="15"/>
      <c r="G6" s="38"/>
      <c r="H6" s="39"/>
      <c r="I6" s="38"/>
      <c r="J6" s="88"/>
    </row>
    <row r="7" spans="2:10" ht="15.75" x14ac:dyDescent="0.25">
      <c r="B7" s="16"/>
      <c r="C7" s="17"/>
      <c r="D7" s="17"/>
      <c r="E7" s="98" t="s">
        <v>29</v>
      </c>
      <c r="F7" s="17"/>
      <c r="G7" s="98" t="s">
        <v>30</v>
      </c>
      <c r="H7" s="41"/>
      <c r="I7" s="98" t="s">
        <v>31</v>
      </c>
      <c r="J7" s="89"/>
    </row>
    <row r="8" spans="2:10" s="2" customFormat="1" ht="5.15" customHeight="1" x14ac:dyDescent="0.25">
      <c r="B8" s="16"/>
      <c r="C8" s="17"/>
      <c r="D8" s="17"/>
      <c r="E8" s="40"/>
      <c r="F8" s="17"/>
      <c r="G8" s="40"/>
      <c r="H8" s="41"/>
      <c r="I8" s="40"/>
      <c r="J8" s="89"/>
    </row>
    <row r="9" spans="2:10" ht="15" x14ac:dyDescent="0.25">
      <c r="B9" s="16"/>
      <c r="C9" s="17"/>
      <c r="D9" s="17"/>
      <c r="E9" s="37" t="s">
        <v>0</v>
      </c>
      <c r="F9" s="17"/>
      <c r="G9" s="37" t="s">
        <v>0</v>
      </c>
      <c r="H9" s="37"/>
      <c r="I9" s="37" t="s">
        <v>0</v>
      </c>
      <c r="J9" s="94"/>
    </row>
    <row r="10" spans="2:10" s="2" customFormat="1" ht="17.25" x14ac:dyDescent="0.25">
      <c r="B10" s="32" t="s">
        <v>7</v>
      </c>
      <c r="C10" s="17" t="s">
        <v>32</v>
      </c>
      <c r="D10" s="17"/>
      <c r="E10" s="78">
        <f>'TAP Rider CALC'!H9</f>
        <v>-80000</v>
      </c>
      <c r="F10" s="42"/>
      <c r="G10" s="42">
        <f>ROUND($E$10*'TAP Rider CALC'!H23, -3)</f>
        <v>-36000</v>
      </c>
      <c r="H10" s="79"/>
      <c r="I10" s="42">
        <f>ROUND($E$10*'TAP Rider CALC'!H42, -3)</f>
        <v>-44000</v>
      </c>
      <c r="J10" s="90"/>
    </row>
    <row r="11" spans="2:10" s="2" customFormat="1" ht="15" x14ac:dyDescent="0.25">
      <c r="B11" s="33"/>
      <c r="C11" s="17"/>
      <c r="D11" s="17"/>
      <c r="E11" s="42"/>
      <c r="F11" s="42"/>
      <c r="G11" s="42"/>
      <c r="H11" s="79"/>
      <c r="I11" s="42"/>
      <c r="J11" s="90"/>
    </row>
    <row r="12" spans="2:10" ht="17.25" x14ac:dyDescent="0.25">
      <c r="B12" s="32" t="s">
        <v>8</v>
      </c>
      <c r="C12" s="19" t="s">
        <v>33</v>
      </c>
      <c r="D12" s="19"/>
      <c r="E12" s="78">
        <f>'TAP Rider CALC'!H14</f>
        <v>1650000</v>
      </c>
      <c r="F12" s="80"/>
      <c r="G12" s="42">
        <f>ROUND($E$12*'TAP Rider CALC'!H23, -3)</f>
        <v>743000</v>
      </c>
      <c r="H12" s="79"/>
      <c r="I12" s="42">
        <f>ROUND($E$12*'TAP Rider CALC'!H42, -3)</f>
        <v>908000</v>
      </c>
      <c r="J12" s="90"/>
    </row>
    <row r="13" spans="2:10" ht="15" x14ac:dyDescent="0.25">
      <c r="B13" s="32"/>
      <c r="C13" s="17"/>
      <c r="D13" s="17"/>
      <c r="E13" s="42"/>
      <c r="F13" s="42"/>
      <c r="G13" s="42"/>
      <c r="H13" s="79"/>
      <c r="I13" s="42"/>
      <c r="J13" s="90"/>
    </row>
    <row r="14" spans="2:10" ht="17.25" x14ac:dyDescent="0.25">
      <c r="B14" s="32" t="s">
        <v>9</v>
      </c>
      <c r="C14" s="20" t="s">
        <v>34</v>
      </c>
      <c r="D14" s="20"/>
      <c r="E14" s="78">
        <f>E10-E12</f>
        <v>-1730000</v>
      </c>
      <c r="F14" s="81"/>
      <c r="G14" s="78">
        <f>G10-G12</f>
        <v>-779000</v>
      </c>
      <c r="H14" s="79"/>
      <c r="I14" s="78">
        <f>I10-I12</f>
        <v>-952000</v>
      </c>
      <c r="J14" s="91"/>
    </row>
    <row r="15" spans="2:10" ht="15" x14ac:dyDescent="0.25">
      <c r="B15" s="33"/>
      <c r="C15" s="17"/>
      <c r="D15" s="17"/>
      <c r="E15" s="17"/>
      <c r="F15" s="17"/>
      <c r="G15" s="17"/>
      <c r="H15" s="35"/>
      <c r="I15" s="17"/>
      <c r="J15" s="18"/>
    </row>
    <row r="16" spans="2:10" ht="17.25" x14ac:dyDescent="0.25">
      <c r="B16" s="32" t="s">
        <v>10</v>
      </c>
      <c r="C16" s="19" t="s">
        <v>42</v>
      </c>
      <c r="D16" s="19"/>
      <c r="E16" s="21">
        <f>G16+I16</f>
        <v>421520000</v>
      </c>
      <c r="F16" s="19"/>
      <c r="G16" s="21">
        <f>'TAP Rider CALC'!J25</f>
        <v>229920000</v>
      </c>
      <c r="H16" s="35"/>
      <c r="I16" s="21">
        <f>'TAP Rider CALC'!J44</f>
        <v>191600000</v>
      </c>
      <c r="J16" s="92"/>
    </row>
    <row r="17" spans="2:10" ht="5.15" customHeight="1" x14ac:dyDescent="0.25">
      <c r="B17" s="33"/>
      <c r="C17" s="17"/>
      <c r="D17" s="17"/>
      <c r="E17" s="17"/>
      <c r="F17" s="17"/>
      <c r="G17" s="17"/>
      <c r="H17" s="17"/>
      <c r="I17" s="17"/>
      <c r="J17" s="18"/>
    </row>
    <row r="18" spans="2:10" ht="17.25" x14ac:dyDescent="0.25">
      <c r="B18" s="32" t="s">
        <v>11</v>
      </c>
      <c r="C18" s="22" t="s">
        <v>36</v>
      </c>
      <c r="D18" s="22"/>
      <c r="E18" s="95">
        <f>E14/E16</f>
        <v>-4.1041943442778513E-3</v>
      </c>
      <c r="F18" s="22"/>
      <c r="G18" s="96">
        <f>G14/G16</f>
        <v>-3.3881350034794711E-3</v>
      </c>
      <c r="H18" s="25"/>
      <c r="I18" s="96">
        <f>I14/I16</f>
        <v>-4.9686847599164927E-3</v>
      </c>
      <c r="J18" s="97"/>
    </row>
    <row r="19" spans="2:10" ht="5.15" customHeight="1" x14ac:dyDescent="0.25">
      <c r="B19" s="23"/>
      <c r="C19" s="24"/>
      <c r="D19" s="24"/>
      <c r="E19" s="27"/>
      <c r="F19" s="24"/>
      <c r="G19" s="27"/>
      <c r="H19" s="26"/>
      <c r="I19" s="26"/>
      <c r="J19" s="93"/>
    </row>
    <row r="21" spans="2:10" ht="15" x14ac:dyDescent="0.25">
      <c r="B21" s="34" t="s">
        <v>2</v>
      </c>
      <c r="C21" s="34"/>
    </row>
    <row r="22" spans="2:10" ht="15.75" x14ac:dyDescent="0.25">
      <c r="B22" s="34"/>
      <c r="C22" s="34" t="s">
        <v>37</v>
      </c>
      <c r="D22" s="2"/>
      <c r="G22" s="2"/>
    </row>
    <row r="23" spans="2:10" ht="15.75" x14ac:dyDescent="0.25">
      <c r="B23" s="34"/>
      <c r="C23" s="34" t="s">
        <v>38</v>
      </c>
    </row>
    <row r="24" spans="2:10" ht="15" x14ac:dyDescent="0.35">
      <c r="B24" s="34"/>
      <c r="C24" s="34" t="s">
        <v>35</v>
      </c>
    </row>
    <row r="25" spans="2:10" ht="15" x14ac:dyDescent="0.35">
      <c r="B25" s="34"/>
      <c r="C25" s="34" t="s">
        <v>43</v>
      </c>
    </row>
    <row r="26" spans="2:10" ht="15" x14ac:dyDescent="0.35">
      <c r="C26" s="34" t="s">
        <v>39</v>
      </c>
    </row>
  </sheetData>
  <pageMargins left="0.7" right="0.7" top="0.75" bottom="0.75" header="0.3" footer="0.3"/>
  <pageSetup scale="88" orientation="landscape" horizontalDpi="1200" verticalDpi="1200" r:id="rId1"/>
  <ignoredErrors>
    <ignoredError sqref="B14:B18 B10 B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showGridLines="0" topLeftCell="A4" workbookViewId="0">
      <selection activeCell="E7" sqref="E7"/>
    </sheetView>
  </sheetViews>
  <sheetFormatPr defaultRowHeight="14.5" x14ac:dyDescent="0.35"/>
  <cols>
    <col min="3" max="3" width="26" bestFit="1" customWidth="1"/>
    <col min="4" max="4" width="18.81640625" customWidth="1"/>
    <col min="5" max="5" width="13.54296875" bestFit="1" customWidth="1"/>
    <col min="6" max="6" width="15" customWidth="1"/>
    <col min="7" max="7" width="15" style="2" customWidth="1"/>
  </cols>
  <sheetData>
    <row r="2" spans="2:7" ht="15" x14ac:dyDescent="0.25">
      <c r="B2" s="12" t="s">
        <v>1</v>
      </c>
      <c r="C2" s="12"/>
      <c r="D2" s="12"/>
      <c r="E2" s="12"/>
      <c r="F2" s="12"/>
      <c r="G2" s="12"/>
    </row>
    <row r="3" spans="2:7" ht="15" x14ac:dyDescent="0.25">
      <c r="B3" s="12" t="s">
        <v>126</v>
      </c>
      <c r="C3" s="12"/>
      <c r="D3" s="12"/>
      <c r="E3" s="12"/>
      <c r="F3" s="12"/>
      <c r="G3" s="12"/>
    </row>
    <row r="4" spans="2:7" ht="15.75" x14ac:dyDescent="0.25">
      <c r="B4" s="3"/>
      <c r="C4" s="36"/>
      <c r="D4" s="84" t="s">
        <v>5</v>
      </c>
      <c r="E4" s="85" t="s">
        <v>40</v>
      </c>
      <c r="F4" s="84" t="s">
        <v>13</v>
      </c>
      <c r="G4" s="85" t="s">
        <v>127</v>
      </c>
    </row>
    <row r="5" spans="2:7" ht="15" x14ac:dyDescent="0.25">
      <c r="B5" s="57" t="s">
        <v>53</v>
      </c>
      <c r="C5" s="55"/>
      <c r="D5" s="56" t="s">
        <v>6</v>
      </c>
      <c r="E5" s="55"/>
      <c r="F5" s="56" t="s">
        <v>6</v>
      </c>
      <c r="G5" s="55"/>
    </row>
    <row r="6" spans="2:7" ht="15" x14ac:dyDescent="0.25">
      <c r="B6" s="43" t="s">
        <v>44</v>
      </c>
      <c r="C6" s="43"/>
      <c r="D6" s="86" t="s">
        <v>41</v>
      </c>
      <c r="E6" s="86"/>
      <c r="F6" s="86" t="s">
        <v>41</v>
      </c>
      <c r="G6" s="30"/>
    </row>
    <row r="7" spans="2:7" ht="15" x14ac:dyDescent="0.25">
      <c r="B7" s="82">
        <v>1</v>
      </c>
      <c r="C7" s="82" t="s">
        <v>17</v>
      </c>
      <c r="D7" s="51">
        <f>'TAP Rider CALC'!J30</f>
        <v>50</v>
      </c>
      <c r="E7" s="83">
        <f>Summary!$G$18</f>
        <v>-3.3881350034794711E-3</v>
      </c>
      <c r="F7" s="51">
        <f>D7*(1+E7)</f>
        <v>49.83059324982603</v>
      </c>
      <c r="G7" s="51">
        <f>F7-D7</f>
        <v>-0.16940675017396956</v>
      </c>
    </row>
    <row r="8" spans="2:7" ht="15" x14ac:dyDescent="0.25">
      <c r="B8" s="82">
        <f>B7+1</f>
        <v>2</v>
      </c>
      <c r="C8" s="82" t="s">
        <v>18</v>
      </c>
      <c r="D8" s="51">
        <f>'TAP Rider CALC'!J31</f>
        <v>45</v>
      </c>
      <c r="E8" s="83">
        <f>Summary!$G$18</f>
        <v>-3.3881350034794711E-3</v>
      </c>
      <c r="F8" s="51">
        <f t="shared" ref="F8:F10" si="0">D8*(1+E8)</f>
        <v>44.847533924843425</v>
      </c>
      <c r="G8" s="51">
        <f t="shared" ref="G8:G10" si="1">F8-D8</f>
        <v>-0.15246607515657473</v>
      </c>
    </row>
    <row r="9" spans="2:7" ht="15" x14ac:dyDescent="0.25">
      <c r="B9" s="82">
        <f>B8+1</f>
        <v>3</v>
      </c>
      <c r="C9" s="82" t="s">
        <v>19</v>
      </c>
      <c r="D9" s="51">
        <f>'TAP Rider CALC'!J32</f>
        <v>40</v>
      </c>
      <c r="E9" s="83">
        <f>Summary!$G$18</f>
        <v>-3.3881350034794711E-3</v>
      </c>
      <c r="F9" s="51">
        <f t="shared" si="0"/>
        <v>39.86447459986082</v>
      </c>
      <c r="G9" s="51">
        <f t="shared" si="1"/>
        <v>-0.13552540013917991</v>
      </c>
    </row>
    <row r="10" spans="2:7" ht="15" x14ac:dyDescent="0.25">
      <c r="B10" s="82">
        <f>B9+1</f>
        <v>4</v>
      </c>
      <c r="C10" s="82" t="s">
        <v>20</v>
      </c>
      <c r="D10" s="51">
        <f>'TAP Rider CALC'!J33</f>
        <v>35</v>
      </c>
      <c r="E10" s="83">
        <f>Summary!$G$18</f>
        <v>-3.3881350034794711E-3</v>
      </c>
      <c r="F10" s="51">
        <f t="shared" si="0"/>
        <v>34.881415274878222</v>
      </c>
      <c r="G10" s="51">
        <f t="shared" si="1"/>
        <v>-0.11858472512177798</v>
      </c>
    </row>
    <row r="11" spans="2:7" ht="15.75" x14ac:dyDescent="0.25">
      <c r="B11" s="3"/>
      <c r="C11" s="36"/>
      <c r="D11" s="4"/>
      <c r="E11" s="2"/>
      <c r="F11" s="4"/>
      <c r="G11" s="4"/>
    </row>
    <row r="12" spans="2:7" ht="15" x14ac:dyDescent="0.25">
      <c r="B12" s="43" t="s">
        <v>45</v>
      </c>
      <c r="C12" s="43"/>
      <c r="D12" s="86" t="s">
        <v>41</v>
      </c>
      <c r="E12" s="87"/>
      <c r="F12" s="86" t="s">
        <v>41</v>
      </c>
      <c r="G12" s="31"/>
    </row>
    <row r="13" spans="2:7" ht="15" x14ac:dyDescent="0.25">
      <c r="B13" s="3">
        <f>B10+1</f>
        <v>5</v>
      </c>
      <c r="C13" s="3" t="s">
        <v>4</v>
      </c>
      <c r="D13" s="51">
        <f>'TAP Rider CALC'!J49</f>
        <v>40</v>
      </c>
      <c r="E13" s="83">
        <f>Summary!$I$18</f>
        <v>-4.9686847599164927E-3</v>
      </c>
      <c r="F13" s="51">
        <f t="shared" ref="F13" si="2">D13*(1+E13)</f>
        <v>39.801252609603338</v>
      </c>
      <c r="G13" s="51">
        <f>F13-D13</f>
        <v>-0.19874739039666167</v>
      </c>
    </row>
    <row r="14" spans="2:7" s="2" customFormat="1" ht="15" x14ac:dyDescent="0.25">
      <c r="B14" s="3"/>
      <c r="C14" s="3"/>
      <c r="D14" s="51"/>
      <c r="E14" s="83"/>
      <c r="F14" s="51"/>
      <c r="G14" s="51"/>
    </row>
  </sheetData>
  <printOptions horizontalCentered="1"/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showGridLines="0" view="pageBreakPreview" zoomScale="110" zoomScaleNormal="100" zoomScaleSheetLayoutView="110" workbookViewId="0">
      <selection activeCell="E14" sqref="E14"/>
    </sheetView>
  </sheetViews>
  <sheetFormatPr defaultColWidth="9.1796875" defaultRowHeight="14.5" x14ac:dyDescent="0.35"/>
  <cols>
    <col min="1" max="1" width="10.7265625" style="3" customWidth="1"/>
    <col min="2" max="3" width="1.7265625" style="2" customWidth="1"/>
    <col min="4" max="4" width="10.7265625" style="3" customWidth="1"/>
    <col min="5" max="5" width="52.453125" style="2" customWidth="1"/>
    <col min="6" max="6" width="5.7265625" style="75" customWidth="1"/>
    <col min="7" max="7" width="20.26953125" style="2" customWidth="1"/>
    <col min="8" max="8" width="20.7265625" style="3" customWidth="1"/>
    <col min="9" max="9" width="5.7265625" style="2" customWidth="1"/>
    <col min="10" max="10" width="20.7265625" style="2" customWidth="1"/>
    <col min="11" max="12" width="1.7265625" style="2" customWidth="1"/>
    <col min="13" max="13" width="23.1796875" style="122" customWidth="1"/>
    <col min="14" max="18" width="9.1796875" style="2"/>
    <col min="19" max="19" width="2.7265625" style="2" customWidth="1"/>
    <col min="20" max="16384" width="9.1796875" style="2"/>
  </cols>
  <sheetData>
    <row r="1" spans="1:13" ht="15" x14ac:dyDescent="0.25">
      <c r="A1" s="130"/>
      <c r="B1" s="130"/>
      <c r="C1" s="153"/>
      <c r="D1" s="132" t="s">
        <v>1</v>
      </c>
      <c r="E1" s="132"/>
      <c r="F1" s="132"/>
      <c r="G1" s="132"/>
      <c r="H1" s="132"/>
      <c r="I1" s="132"/>
      <c r="J1" s="132"/>
      <c r="K1" s="153"/>
      <c r="L1" s="153"/>
      <c r="M1" s="152"/>
    </row>
    <row r="2" spans="1:13" ht="15" x14ac:dyDescent="0.25">
      <c r="A2" s="130"/>
      <c r="B2" s="130"/>
      <c r="C2" s="153"/>
      <c r="D2" s="132" t="s">
        <v>70</v>
      </c>
      <c r="E2" s="132"/>
      <c r="F2" s="132"/>
      <c r="G2" s="132"/>
      <c r="H2" s="132"/>
      <c r="I2" s="132"/>
      <c r="J2" s="132"/>
      <c r="K2" s="153"/>
      <c r="L2" s="153"/>
      <c r="M2" s="152"/>
    </row>
    <row r="3" spans="1:13" s="10" customFormat="1" ht="5.15" customHeight="1" x14ac:dyDescent="0.25">
      <c r="A3" s="130"/>
      <c r="B3" s="130"/>
      <c r="C3" s="153"/>
      <c r="D3" s="176"/>
      <c r="E3" s="176"/>
      <c r="F3" s="176"/>
      <c r="G3" s="176"/>
      <c r="H3" s="176"/>
      <c r="I3" s="176"/>
      <c r="J3" s="176"/>
      <c r="K3" s="153"/>
      <c r="L3" s="153"/>
      <c r="M3" s="152"/>
    </row>
    <row r="4" spans="1:13" ht="15.75" x14ac:dyDescent="0.25">
      <c r="B4" s="10"/>
      <c r="C4" s="169"/>
      <c r="D4" s="170"/>
      <c r="E4" s="171"/>
      <c r="F4" s="172"/>
      <c r="G4" s="173"/>
      <c r="H4" s="174" t="s">
        <v>24</v>
      </c>
      <c r="I4" s="174"/>
      <c r="J4" s="174" t="s">
        <v>25</v>
      </c>
      <c r="K4" s="175"/>
      <c r="L4" s="9"/>
    </row>
    <row r="5" spans="1:13" ht="15" customHeight="1" x14ac:dyDescent="0.35">
      <c r="A5" s="213" t="s">
        <v>73</v>
      </c>
      <c r="B5" s="68"/>
      <c r="C5" s="160"/>
      <c r="D5" s="117" t="s">
        <v>58</v>
      </c>
      <c r="E5" s="154"/>
      <c r="F5" s="155"/>
      <c r="G5" s="156"/>
      <c r="H5" s="116" t="s">
        <v>14</v>
      </c>
      <c r="I5" s="116"/>
      <c r="J5" s="116"/>
      <c r="K5" s="161"/>
      <c r="L5" s="68"/>
      <c r="M5" s="123" t="s">
        <v>76</v>
      </c>
    </row>
    <row r="6" spans="1:13" x14ac:dyDescent="0.35">
      <c r="A6" s="214"/>
      <c r="B6" s="68"/>
      <c r="C6" s="160"/>
      <c r="D6" s="157" t="s">
        <v>26</v>
      </c>
      <c r="E6" s="157"/>
      <c r="F6" s="158"/>
      <c r="G6" s="157"/>
      <c r="H6" s="159"/>
      <c r="I6" s="159"/>
      <c r="J6" s="159"/>
      <c r="K6" s="161"/>
      <c r="L6" s="68"/>
      <c r="M6" s="124" t="s">
        <v>52</v>
      </c>
    </row>
    <row r="7" spans="1:13" ht="16.5" x14ac:dyDescent="0.35">
      <c r="A7" s="214"/>
      <c r="B7" s="68"/>
      <c r="C7" s="160"/>
      <c r="D7" s="67">
        <v>1</v>
      </c>
      <c r="E7" s="63" t="s">
        <v>69</v>
      </c>
      <c r="F7" s="103" t="s">
        <v>54</v>
      </c>
      <c r="G7" s="28"/>
      <c r="H7" s="45">
        <v>800000</v>
      </c>
      <c r="I7" s="9"/>
      <c r="J7" s="29"/>
      <c r="K7" s="161"/>
      <c r="L7" s="68"/>
      <c r="M7" s="125"/>
    </row>
    <row r="8" spans="1:13" ht="17" thickBot="1" x14ac:dyDescent="0.4">
      <c r="A8" s="214"/>
      <c r="B8" s="68"/>
      <c r="C8" s="160"/>
      <c r="D8" s="67">
        <f>D7+1</f>
        <v>2</v>
      </c>
      <c r="E8" s="63" t="s">
        <v>77</v>
      </c>
      <c r="F8" s="103" t="s">
        <v>56</v>
      </c>
      <c r="G8" s="50"/>
      <c r="H8" s="59">
        <f>H7*0.9</f>
        <v>720000</v>
      </c>
      <c r="I8" s="105"/>
      <c r="J8" s="106"/>
      <c r="K8" s="161"/>
      <c r="L8" s="68"/>
      <c r="M8" s="125"/>
    </row>
    <row r="9" spans="1:13" ht="15" thickTop="1" x14ac:dyDescent="0.35">
      <c r="A9" s="214"/>
      <c r="B9" s="68"/>
      <c r="C9" s="160"/>
      <c r="D9" s="67">
        <f>D8+1</f>
        <v>3</v>
      </c>
      <c r="E9" s="63" t="s">
        <v>22</v>
      </c>
      <c r="F9" s="77" t="s">
        <v>51</v>
      </c>
      <c r="G9" s="72"/>
      <c r="H9" s="99">
        <f>H8-H7</f>
        <v>-80000</v>
      </c>
      <c r="I9" s="58"/>
      <c r="J9" s="107"/>
      <c r="K9" s="161"/>
      <c r="L9" s="68"/>
      <c r="M9" s="126" t="s">
        <v>62</v>
      </c>
    </row>
    <row r="10" spans="1:13" x14ac:dyDescent="0.35">
      <c r="A10" s="214"/>
      <c r="B10" s="68"/>
      <c r="C10" s="160"/>
      <c r="D10" s="11"/>
      <c r="E10" s="50"/>
      <c r="F10" s="71"/>
      <c r="G10" s="50"/>
      <c r="H10" s="29"/>
      <c r="I10" s="9"/>
      <c r="J10" s="29"/>
      <c r="K10" s="161"/>
      <c r="L10" s="68"/>
      <c r="M10" s="125"/>
    </row>
    <row r="11" spans="1:13" x14ac:dyDescent="0.35">
      <c r="A11" s="214"/>
      <c r="B11" s="68"/>
      <c r="C11" s="160"/>
      <c r="D11" s="61" t="s">
        <v>27</v>
      </c>
      <c r="E11" s="61"/>
      <c r="F11" s="76"/>
      <c r="G11" s="61"/>
      <c r="H11" s="135"/>
      <c r="I11" s="135"/>
      <c r="J11" s="135"/>
      <c r="K11" s="161"/>
      <c r="L11" s="68"/>
      <c r="M11" s="125"/>
    </row>
    <row r="12" spans="1:13" ht="16.5" x14ac:dyDescent="0.35">
      <c r="A12" s="214"/>
      <c r="B12" s="68"/>
      <c r="C12" s="160"/>
      <c r="D12" s="64">
        <f>D9+1</f>
        <v>4</v>
      </c>
      <c r="E12" s="65" t="s">
        <v>78</v>
      </c>
      <c r="F12" s="104" t="s">
        <v>54</v>
      </c>
      <c r="G12" s="66"/>
      <c r="H12" s="45">
        <v>16500000</v>
      </c>
      <c r="I12" s="9"/>
      <c r="J12" s="29"/>
      <c r="K12" s="161"/>
      <c r="L12" s="68"/>
      <c r="M12" s="125"/>
    </row>
    <row r="13" spans="1:13" ht="17" thickBot="1" x14ac:dyDescent="0.4">
      <c r="A13" s="214"/>
      <c r="B13" s="68"/>
      <c r="C13" s="160"/>
      <c r="D13" s="67">
        <f>D12+1</f>
        <v>5</v>
      </c>
      <c r="E13" s="63" t="s">
        <v>79</v>
      </c>
      <c r="F13" s="103" t="s">
        <v>56</v>
      </c>
      <c r="G13" s="50"/>
      <c r="H13" s="59">
        <f>H12*0.9</f>
        <v>14850000</v>
      </c>
      <c r="I13" s="105"/>
      <c r="J13" s="106"/>
      <c r="K13" s="161"/>
      <c r="L13" s="68"/>
      <c r="M13" s="125"/>
    </row>
    <row r="14" spans="1:13" ht="15" thickTop="1" x14ac:dyDescent="0.35">
      <c r="A14" s="214"/>
      <c r="B14" s="68"/>
      <c r="C14" s="160"/>
      <c r="D14" s="67">
        <f>D13+1</f>
        <v>6</v>
      </c>
      <c r="E14" s="63" t="s">
        <v>55</v>
      </c>
      <c r="F14" s="77" t="s">
        <v>50</v>
      </c>
      <c r="G14" s="72"/>
      <c r="H14" s="99">
        <f>H12-H13</f>
        <v>1650000</v>
      </c>
      <c r="I14" s="58"/>
      <c r="J14" s="107"/>
      <c r="K14" s="161"/>
      <c r="L14" s="68"/>
      <c r="M14" s="126" t="s">
        <v>63</v>
      </c>
    </row>
    <row r="15" spans="1:13" x14ac:dyDescent="0.35">
      <c r="A15" s="214"/>
      <c r="B15" s="68"/>
      <c r="C15" s="160"/>
      <c r="D15" s="11"/>
      <c r="E15" s="28"/>
      <c r="F15" s="70"/>
      <c r="G15" s="28"/>
      <c r="H15" s="29"/>
      <c r="I15" s="9"/>
      <c r="J15" s="29"/>
      <c r="K15" s="161"/>
      <c r="L15" s="68"/>
      <c r="M15" s="125"/>
    </row>
    <row r="16" spans="1:13" x14ac:dyDescent="0.35">
      <c r="A16" s="214"/>
      <c r="B16" s="68"/>
      <c r="C16" s="160"/>
      <c r="D16" s="131" t="s">
        <v>28</v>
      </c>
      <c r="E16" s="136"/>
      <c r="F16" s="136"/>
      <c r="G16" s="62"/>
      <c r="H16" s="135"/>
      <c r="I16" s="135"/>
      <c r="J16" s="135"/>
      <c r="K16" s="161"/>
      <c r="L16" s="68"/>
      <c r="M16" s="125"/>
    </row>
    <row r="17" spans="1:13" x14ac:dyDescent="0.35">
      <c r="A17" s="215"/>
      <c r="B17" s="68"/>
      <c r="C17" s="160"/>
      <c r="D17" s="137">
        <f>D14+1</f>
        <v>7</v>
      </c>
      <c r="E17" s="138" t="s">
        <v>71</v>
      </c>
      <c r="F17" s="77" t="s">
        <v>57</v>
      </c>
      <c r="G17" s="72"/>
      <c r="H17" s="99">
        <f>H9-H14</f>
        <v>-1730000</v>
      </c>
      <c r="I17" s="139"/>
      <c r="J17" s="140"/>
      <c r="K17" s="161"/>
      <c r="L17" s="68"/>
      <c r="M17" s="126" t="s">
        <v>64</v>
      </c>
    </row>
    <row r="18" spans="1:13" ht="15" x14ac:dyDescent="0.25">
      <c r="A18" s="53"/>
      <c r="B18" s="68"/>
      <c r="C18" s="160"/>
      <c r="D18" s="141"/>
      <c r="E18" s="142"/>
      <c r="F18" s="143"/>
      <c r="G18" s="50"/>
      <c r="H18" s="144"/>
      <c r="I18" s="145"/>
      <c r="J18" s="144"/>
      <c r="K18" s="161"/>
      <c r="L18" s="68"/>
      <c r="M18" s="125"/>
    </row>
    <row r="19" spans="1:13" x14ac:dyDescent="0.35">
      <c r="A19" s="216" t="s">
        <v>74</v>
      </c>
      <c r="B19" s="68"/>
      <c r="C19" s="160"/>
      <c r="D19" s="57" t="s">
        <v>59</v>
      </c>
      <c r="E19" s="55"/>
      <c r="F19" s="74"/>
      <c r="G19" s="101"/>
      <c r="H19" s="56"/>
      <c r="I19" s="56"/>
      <c r="J19" s="102" t="s">
        <v>6</v>
      </c>
      <c r="K19" s="161"/>
      <c r="L19" s="68"/>
      <c r="M19" s="123" t="s">
        <v>76</v>
      </c>
    </row>
    <row r="20" spans="1:13" x14ac:dyDescent="0.35">
      <c r="A20" s="217"/>
      <c r="B20" s="68"/>
      <c r="C20" s="160"/>
      <c r="D20" s="60"/>
      <c r="E20" s="61"/>
      <c r="F20" s="76"/>
      <c r="G20" s="61"/>
      <c r="H20" s="135"/>
      <c r="I20" s="135"/>
      <c r="J20" s="135"/>
      <c r="K20" s="161"/>
      <c r="L20" s="68"/>
      <c r="M20" s="124" t="s">
        <v>115</v>
      </c>
    </row>
    <row r="21" spans="1:13" x14ac:dyDescent="0.35">
      <c r="A21" s="217"/>
      <c r="B21" s="68"/>
      <c r="C21" s="160"/>
      <c r="D21" s="11">
        <f>D17+1</f>
        <v>8</v>
      </c>
      <c r="E21" s="146" t="s">
        <v>23</v>
      </c>
      <c r="F21" s="77" t="s">
        <v>72</v>
      </c>
      <c r="G21" s="72"/>
      <c r="H21" s="11"/>
      <c r="I21" s="58"/>
      <c r="J21" s="99">
        <f>H17</f>
        <v>-1730000</v>
      </c>
      <c r="K21" s="161"/>
      <c r="L21" s="68"/>
      <c r="M21" s="127"/>
    </row>
    <row r="22" spans="1:13" x14ac:dyDescent="0.35">
      <c r="A22" s="217"/>
      <c r="B22" s="68"/>
      <c r="C22" s="160"/>
      <c r="D22" s="60" t="s">
        <v>15</v>
      </c>
      <c r="E22" s="61"/>
      <c r="F22" s="76"/>
      <c r="G22" s="61"/>
      <c r="H22" s="135"/>
      <c r="I22" s="135"/>
      <c r="J22" s="135"/>
      <c r="K22" s="161"/>
      <c r="L22" s="68"/>
      <c r="M22" s="123" t="s">
        <v>105</v>
      </c>
    </row>
    <row r="23" spans="1:13" ht="16.5" x14ac:dyDescent="0.35">
      <c r="A23" s="217"/>
      <c r="B23" s="68"/>
      <c r="C23" s="160"/>
      <c r="D23" s="11">
        <f>D21+1</f>
        <v>9</v>
      </c>
      <c r="E23" s="54" t="s">
        <v>85</v>
      </c>
      <c r="F23" s="77" t="s">
        <v>88</v>
      </c>
      <c r="G23" s="72"/>
      <c r="H23" s="178">
        <v>0.45</v>
      </c>
      <c r="I23" s="58"/>
      <c r="J23" s="99">
        <f>ROUND(J21*H23, -3)</f>
        <v>-779000</v>
      </c>
      <c r="K23" s="161"/>
      <c r="L23" s="68"/>
      <c r="M23" s="126" t="s">
        <v>102</v>
      </c>
    </row>
    <row r="24" spans="1:13" ht="16.5" customHeight="1" x14ac:dyDescent="0.35">
      <c r="A24" s="217"/>
      <c r="B24" s="68"/>
      <c r="C24" s="160"/>
      <c r="D24" s="11"/>
      <c r="E24" s="54"/>
      <c r="F24" s="70"/>
      <c r="G24" s="28"/>
      <c r="H24" s="11"/>
      <c r="I24" s="9"/>
      <c r="J24" s="29"/>
      <c r="K24" s="161"/>
      <c r="L24" s="68"/>
      <c r="M24" s="125"/>
    </row>
    <row r="25" spans="1:13" ht="16.5" x14ac:dyDescent="0.35">
      <c r="A25" s="217"/>
      <c r="B25" s="68"/>
      <c r="C25" s="160"/>
      <c r="D25" s="11">
        <f>D23+1</f>
        <v>10</v>
      </c>
      <c r="E25" s="54" t="s">
        <v>84</v>
      </c>
      <c r="F25" s="70"/>
      <c r="G25" s="28"/>
      <c r="H25" s="11"/>
      <c r="I25" s="111"/>
      <c r="J25" s="44">
        <v>229920000</v>
      </c>
      <c r="K25" s="161"/>
      <c r="L25" s="68"/>
      <c r="M25" s="126" t="s">
        <v>103</v>
      </c>
    </row>
    <row r="26" spans="1:13" x14ac:dyDescent="0.35">
      <c r="A26" s="217"/>
      <c r="B26" s="68"/>
      <c r="C26" s="160"/>
      <c r="D26" s="11"/>
      <c r="E26" s="54"/>
      <c r="F26" s="77"/>
      <c r="G26" s="11"/>
      <c r="H26" s="11"/>
      <c r="I26" s="9"/>
      <c r="J26" s="29"/>
      <c r="K26" s="161"/>
      <c r="L26" s="68"/>
      <c r="M26" s="125"/>
    </row>
    <row r="27" spans="1:13" x14ac:dyDescent="0.35">
      <c r="A27" s="217"/>
      <c r="B27" s="68"/>
      <c r="C27" s="160"/>
      <c r="D27" s="11">
        <f>D25+1</f>
        <v>11</v>
      </c>
      <c r="E27" s="54" t="s">
        <v>60</v>
      </c>
      <c r="F27" s="77" t="s">
        <v>89</v>
      </c>
      <c r="G27" s="73"/>
      <c r="H27" s="11"/>
      <c r="I27" s="58"/>
      <c r="J27" s="100">
        <f>J23/J25</f>
        <v>-3.3881350034794711E-3</v>
      </c>
      <c r="K27" s="161"/>
      <c r="L27" s="68"/>
      <c r="M27" s="126" t="s">
        <v>65</v>
      </c>
    </row>
    <row r="28" spans="1:13" x14ac:dyDescent="0.35">
      <c r="A28" s="217"/>
      <c r="B28" s="68"/>
      <c r="C28" s="160"/>
      <c r="D28" s="11"/>
      <c r="E28" s="28"/>
      <c r="F28" s="70"/>
      <c r="G28" s="28"/>
      <c r="H28" s="52"/>
      <c r="I28" s="9"/>
      <c r="J28" s="52"/>
      <c r="K28" s="161"/>
      <c r="L28" s="68"/>
      <c r="M28" s="125"/>
    </row>
    <row r="29" spans="1:13" x14ac:dyDescent="0.35">
      <c r="A29" s="217"/>
      <c r="B29" s="68"/>
      <c r="C29" s="160"/>
      <c r="D29" s="131" t="s">
        <v>66</v>
      </c>
      <c r="E29" s="131"/>
      <c r="F29" s="136"/>
      <c r="G29" s="135"/>
      <c r="H29" s="135"/>
      <c r="I29" s="135"/>
      <c r="J29" s="135"/>
      <c r="K29" s="161"/>
      <c r="L29" s="68"/>
      <c r="M29" s="123" t="s">
        <v>113</v>
      </c>
    </row>
    <row r="30" spans="1:13" x14ac:dyDescent="0.35">
      <c r="A30" s="217"/>
      <c r="B30" s="68"/>
      <c r="C30" s="160"/>
      <c r="D30" s="82">
        <f>D27+1</f>
        <v>12</v>
      </c>
      <c r="E30" s="82" t="s">
        <v>17</v>
      </c>
      <c r="F30" s="147"/>
      <c r="G30" s="148"/>
      <c r="H30" s="11"/>
      <c r="I30" s="108"/>
      <c r="J30" s="48">
        <v>50</v>
      </c>
      <c r="K30" s="161"/>
      <c r="L30" s="68"/>
      <c r="M30" s="219" t="s">
        <v>107</v>
      </c>
    </row>
    <row r="31" spans="1:13" x14ac:dyDescent="0.35">
      <c r="A31" s="217"/>
      <c r="B31" s="68"/>
      <c r="C31" s="160"/>
      <c r="D31" s="82">
        <f>D30+1</f>
        <v>13</v>
      </c>
      <c r="E31" s="82" t="s">
        <v>18</v>
      </c>
      <c r="F31" s="147"/>
      <c r="G31" s="148"/>
      <c r="H31" s="11"/>
      <c r="I31" s="108"/>
      <c r="J31" s="46">
        <v>45</v>
      </c>
      <c r="K31" s="161"/>
      <c r="L31" s="68"/>
      <c r="M31" s="220"/>
    </row>
    <row r="32" spans="1:13" x14ac:dyDescent="0.35">
      <c r="A32" s="217"/>
      <c r="B32" s="68"/>
      <c r="C32" s="160"/>
      <c r="D32" s="82">
        <f>D31+1</f>
        <v>14</v>
      </c>
      <c r="E32" s="82" t="s">
        <v>19</v>
      </c>
      <c r="F32" s="147"/>
      <c r="G32" s="148"/>
      <c r="H32" s="11"/>
      <c r="I32" s="108"/>
      <c r="J32" s="46">
        <v>40</v>
      </c>
      <c r="K32" s="161"/>
      <c r="L32" s="68"/>
      <c r="M32" s="220"/>
    </row>
    <row r="33" spans="1:13" x14ac:dyDescent="0.35">
      <c r="A33" s="217"/>
      <c r="B33" s="68"/>
      <c r="C33" s="160"/>
      <c r="D33" s="82">
        <f>D32+1</f>
        <v>15</v>
      </c>
      <c r="E33" s="82" t="s">
        <v>20</v>
      </c>
      <c r="F33" s="147"/>
      <c r="G33" s="148"/>
      <c r="H33" s="11"/>
      <c r="I33" s="108"/>
      <c r="J33" s="47">
        <v>35</v>
      </c>
      <c r="K33" s="161"/>
      <c r="L33" s="68"/>
      <c r="M33" s="221"/>
    </row>
    <row r="34" spans="1:13" x14ac:dyDescent="0.35">
      <c r="A34" s="217"/>
      <c r="B34" s="68"/>
      <c r="C34" s="160"/>
      <c r="D34" s="11"/>
      <c r="E34" s="28"/>
      <c r="F34" s="70"/>
      <c r="G34" s="28"/>
      <c r="H34" s="52"/>
      <c r="I34" s="9"/>
      <c r="J34" s="52"/>
      <c r="K34" s="161"/>
      <c r="L34" s="68"/>
      <c r="M34" s="125"/>
    </row>
    <row r="35" spans="1:13" x14ac:dyDescent="0.35">
      <c r="A35" s="217"/>
      <c r="B35" s="68"/>
      <c r="C35" s="160"/>
      <c r="D35" s="61" t="s">
        <v>46</v>
      </c>
      <c r="E35" s="61"/>
      <c r="F35" s="76"/>
      <c r="G35" s="61"/>
      <c r="H35" s="135"/>
      <c r="I35" s="135"/>
      <c r="J35" s="135"/>
      <c r="K35" s="161"/>
      <c r="L35" s="68"/>
      <c r="M35" s="125"/>
    </row>
    <row r="36" spans="1:13" x14ac:dyDescent="0.35">
      <c r="A36" s="217"/>
      <c r="B36" s="68"/>
      <c r="C36" s="160"/>
      <c r="D36" s="149">
        <f>D33+1</f>
        <v>16</v>
      </c>
      <c r="E36" s="82" t="str">
        <f>E30</f>
        <v>0 to 2 Mcf</v>
      </c>
      <c r="F36" s="77" t="s">
        <v>90</v>
      </c>
      <c r="G36" s="72"/>
      <c r="H36" s="11"/>
      <c r="I36" s="110"/>
      <c r="J36" s="112">
        <f>ROUND((J30*(1+J$27)),2)</f>
        <v>49.83</v>
      </c>
      <c r="K36" s="161"/>
      <c r="L36" s="68"/>
      <c r="M36" s="219" t="s">
        <v>108</v>
      </c>
    </row>
    <row r="37" spans="1:13" ht="15" customHeight="1" x14ac:dyDescent="0.35">
      <c r="A37" s="217"/>
      <c r="B37" s="68"/>
      <c r="C37" s="160"/>
      <c r="D37" s="149">
        <f>D36+1</f>
        <v>17</v>
      </c>
      <c r="E37" s="82" t="str">
        <f>E31</f>
        <v>2.1 to 100 Mcf</v>
      </c>
      <c r="F37" s="77" t="s">
        <v>91</v>
      </c>
      <c r="G37" s="72"/>
      <c r="H37" s="11"/>
      <c r="I37" s="110"/>
      <c r="J37" s="113">
        <f>(J31*(1+J$27))</f>
        <v>44.847533924843425</v>
      </c>
      <c r="K37" s="161"/>
      <c r="L37" s="68"/>
      <c r="M37" s="220"/>
    </row>
    <row r="38" spans="1:13" x14ac:dyDescent="0.35">
      <c r="A38" s="217"/>
      <c r="B38" s="68"/>
      <c r="C38" s="160"/>
      <c r="D38" s="149">
        <f t="shared" ref="D38:D39" si="0">D37+1</f>
        <v>18</v>
      </c>
      <c r="E38" s="82" t="str">
        <f>E32</f>
        <v>100.1 to 2,000 Mcf</v>
      </c>
      <c r="F38" s="77" t="s">
        <v>92</v>
      </c>
      <c r="G38" s="72"/>
      <c r="H38" s="11"/>
      <c r="I38" s="110"/>
      <c r="J38" s="113">
        <f>(J32*(1+J$27))</f>
        <v>39.86447459986082</v>
      </c>
      <c r="K38" s="161"/>
      <c r="L38" s="68"/>
      <c r="M38" s="220"/>
    </row>
    <row r="39" spans="1:13" x14ac:dyDescent="0.35">
      <c r="A39" s="217"/>
      <c r="B39" s="68"/>
      <c r="C39" s="160"/>
      <c r="D39" s="149">
        <f t="shared" si="0"/>
        <v>19</v>
      </c>
      <c r="E39" s="82" t="str">
        <f>E33</f>
        <v>2,000 + Mcf</v>
      </c>
      <c r="F39" s="77" t="s">
        <v>93</v>
      </c>
      <c r="G39" s="72"/>
      <c r="H39" s="11"/>
      <c r="I39" s="110"/>
      <c r="J39" s="114">
        <f>(J33*(1+J$27))</f>
        <v>34.881415274878222</v>
      </c>
      <c r="K39" s="161"/>
      <c r="L39" s="68"/>
      <c r="M39" s="221"/>
    </row>
    <row r="40" spans="1:13" x14ac:dyDescent="0.35">
      <c r="A40" s="217"/>
      <c r="B40" s="68"/>
      <c r="C40" s="160"/>
      <c r="D40" s="67"/>
      <c r="E40" s="82"/>
      <c r="F40" s="147"/>
      <c r="G40" s="148"/>
      <c r="H40" s="69"/>
      <c r="I40" s="51"/>
      <c r="J40" s="177" t="s">
        <v>118</v>
      </c>
      <c r="K40" s="161"/>
      <c r="L40" s="68"/>
      <c r="M40" s="125"/>
    </row>
    <row r="41" spans="1:13" x14ac:dyDescent="0.35">
      <c r="A41" s="217"/>
      <c r="B41" s="68"/>
      <c r="C41" s="160"/>
      <c r="D41" s="118" t="s">
        <v>16</v>
      </c>
      <c r="E41" s="61"/>
      <c r="F41" s="76"/>
      <c r="G41" s="61"/>
      <c r="H41" s="61"/>
      <c r="I41" s="61"/>
      <c r="J41" s="61"/>
      <c r="K41" s="161"/>
      <c r="L41" s="68"/>
      <c r="M41" s="128" t="s">
        <v>112</v>
      </c>
    </row>
    <row r="42" spans="1:13" ht="16.5" x14ac:dyDescent="0.35">
      <c r="A42" s="217"/>
      <c r="B42" s="68"/>
      <c r="C42" s="160"/>
      <c r="D42" s="6">
        <f>D39+1</f>
        <v>20</v>
      </c>
      <c r="E42" s="54" t="s">
        <v>86</v>
      </c>
      <c r="F42" s="77" t="s">
        <v>94</v>
      </c>
      <c r="G42" s="28"/>
      <c r="H42" s="178">
        <v>0.55000000000000004</v>
      </c>
      <c r="I42" s="58"/>
      <c r="J42" s="99">
        <f>ROUND(H17*H42, -3)</f>
        <v>-952000</v>
      </c>
      <c r="K42" s="161"/>
      <c r="L42" s="68"/>
      <c r="M42" s="126" t="s">
        <v>106</v>
      </c>
    </row>
    <row r="43" spans="1:13" x14ac:dyDescent="0.35">
      <c r="A43" s="217"/>
      <c r="B43" s="68"/>
      <c r="C43" s="160"/>
      <c r="D43" s="11"/>
      <c r="E43" s="54"/>
      <c r="F43" s="70"/>
      <c r="G43" s="28"/>
      <c r="H43" s="11"/>
      <c r="I43" s="9"/>
      <c r="J43" s="29"/>
      <c r="K43" s="161"/>
      <c r="L43" s="68"/>
      <c r="M43" s="125"/>
    </row>
    <row r="44" spans="1:13" ht="16.5" x14ac:dyDescent="0.35">
      <c r="A44" s="217"/>
      <c r="B44" s="68"/>
      <c r="C44" s="160"/>
      <c r="D44" s="11">
        <f>D42+1</f>
        <v>21</v>
      </c>
      <c r="E44" s="54" t="s">
        <v>87</v>
      </c>
      <c r="F44" s="70"/>
      <c r="G44" s="28"/>
      <c r="H44" s="11"/>
      <c r="I44" s="111"/>
      <c r="J44" s="44">
        <v>191600000</v>
      </c>
      <c r="K44" s="161"/>
      <c r="L44" s="68"/>
      <c r="M44" s="126" t="s">
        <v>104</v>
      </c>
    </row>
    <row r="45" spans="1:13" x14ac:dyDescent="0.35">
      <c r="A45" s="217"/>
      <c r="B45" s="68"/>
      <c r="C45" s="160"/>
      <c r="D45" s="11"/>
      <c r="E45" s="54"/>
      <c r="F45" s="77"/>
      <c r="G45" s="28"/>
      <c r="H45" s="11"/>
      <c r="I45" s="9"/>
      <c r="J45" s="29"/>
      <c r="K45" s="161"/>
      <c r="L45" s="68"/>
      <c r="M45" s="125"/>
    </row>
    <row r="46" spans="1:13" x14ac:dyDescent="0.35">
      <c r="A46" s="217"/>
      <c r="B46" s="68"/>
      <c r="C46" s="160"/>
      <c r="D46" s="11">
        <f>D44+1</f>
        <v>22</v>
      </c>
      <c r="E46" s="54" t="s">
        <v>60</v>
      </c>
      <c r="F46" s="77" t="s">
        <v>95</v>
      </c>
      <c r="G46" s="77"/>
      <c r="H46" s="11"/>
      <c r="I46" s="58"/>
      <c r="J46" s="100">
        <f>J42/J44</f>
        <v>-4.9686847599164927E-3</v>
      </c>
      <c r="K46" s="161"/>
      <c r="L46" s="68"/>
      <c r="M46" s="126" t="s">
        <v>65</v>
      </c>
    </row>
    <row r="47" spans="1:13" x14ac:dyDescent="0.35">
      <c r="A47" s="217"/>
      <c r="B47" s="68"/>
      <c r="C47" s="160"/>
      <c r="D47" s="11"/>
      <c r="E47" s="28"/>
      <c r="F47" s="70"/>
      <c r="G47" s="28"/>
      <c r="H47" s="29"/>
      <c r="I47" s="9"/>
      <c r="J47" s="29"/>
      <c r="K47" s="161"/>
      <c r="L47" s="68"/>
      <c r="M47" s="125"/>
    </row>
    <row r="48" spans="1:13" x14ac:dyDescent="0.35">
      <c r="A48" s="217"/>
      <c r="B48" s="68"/>
      <c r="C48" s="160"/>
      <c r="D48" s="131" t="s">
        <v>67</v>
      </c>
      <c r="E48" s="131"/>
      <c r="F48" s="136"/>
      <c r="G48" s="62"/>
      <c r="H48" s="135"/>
      <c r="I48" s="135"/>
      <c r="J48" s="135"/>
      <c r="K48" s="161"/>
      <c r="L48" s="68"/>
      <c r="M48" s="123" t="s">
        <v>114</v>
      </c>
    </row>
    <row r="49" spans="1:13" x14ac:dyDescent="0.35">
      <c r="A49" s="217"/>
      <c r="B49" s="68"/>
      <c r="C49" s="160"/>
      <c r="D49" s="11">
        <f>D46+1</f>
        <v>23</v>
      </c>
      <c r="E49" s="11" t="s">
        <v>21</v>
      </c>
      <c r="F49" s="70"/>
      <c r="G49" s="150"/>
      <c r="H49" s="11"/>
      <c r="I49" s="108"/>
      <c r="J49" s="49">
        <v>40</v>
      </c>
      <c r="K49" s="161"/>
      <c r="L49" s="68"/>
      <c r="M49" s="129" t="s">
        <v>120</v>
      </c>
    </row>
    <row r="50" spans="1:13" x14ac:dyDescent="0.35">
      <c r="A50" s="217"/>
      <c r="B50" s="68"/>
      <c r="C50" s="160"/>
      <c r="D50" s="11"/>
      <c r="E50" s="28"/>
      <c r="F50" s="70"/>
      <c r="G50" s="28"/>
      <c r="H50" s="29"/>
      <c r="I50" s="9"/>
      <c r="J50" s="29"/>
      <c r="K50" s="161"/>
      <c r="L50" s="68"/>
      <c r="M50" s="125"/>
    </row>
    <row r="51" spans="1:13" x14ac:dyDescent="0.35">
      <c r="A51" s="217"/>
      <c r="B51" s="68"/>
      <c r="C51" s="160"/>
      <c r="D51" s="131" t="s">
        <v>47</v>
      </c>
      <c r="E51" s="131"/>
      <c r="F51" s="136"/>
      <c r="G51" s="135"/>
      <c r="H51" s="135"/>
      <c r="I51" s="135"/>
      <c r="J51" s="135"/>
      <c r="K51" s="161"/>
      <c r="L51" s="68"/>
      <c r="M51" s="125"/>
    </row>
    <row r="52" spans="1:13" x14ac:dyDescent="0.35">
      <c r="A52" s="218"/>
      <c r="B52" s="68"/>
      <c r="C52" s="160"/>
      <c r="D52" s="11">
        <f>D49+1</f>
        <v>24</v>
      </c>
      <c r="E52" s="82" t="str">
        <f>E49</f>
        <v>Sewer Volume Rate ($/Mcf)</v>
      </c>
      <c r="F52" s="77" t="s">
        <v>96</v>
      </c>
      <c r="G52" s="148"/>
      <c r="H52" s="11"/>
      <c r="I52" s="110"/>
      <c r="J52" s="115">
        <f>(J49*(1+J$46))</f>
        <v>39.801252609603338</v>
      </c>
      <c r="K52" s="161"/>
      <c r="L52" s="68"/>
      <c r="M52" s="129" t="s">
        <v>119</v>
      </c>
    </row>
    <row r="53" spans="1:13" x14ac:dyDescent="0.35">
      <c r="B53" s="68"/>
      <c r="C53" s="160"/>
      <c r="D53" s="11"/>
      <c r="E53" s="82"/>
      <c r="F53" s="147"/>
      <c r="G53" s="148"/>
      <c r="H53" s="51"/>
      <c r="I53" s="51"/>
      <c r="J53" s="177" t="s">
        <v>118</v>
      </c>
      <c r="K53" s="161"/>
      <c r="L53" s="68"/>
      <c r="M53" s="125"/>
    </row>
    <row r="54" spans="1:13" x14ac:dyDescent="0.35">
      <c r="A54" s="222" t="s">
        <v>75</v>
      </c>
      <c r="B54" s="68"/>
      <c r="C54" s="160"/>
      <c r="D54" s="57" t="s">
        <v>61</v>
      </c>
      <c r="E54" s="55"/>
      <c r="F54" s="74"/>
      <c r="G54" s="101"/>
      <c r="H54" s="56"/>
      <c r="I54" s="56"/>
      <c r="J54" s="102"/>
      <c r="K54" s="161"/>
      <c r="L54" s="68"/>
      <c r="M54" s="125"/>
    </row>
    <row r="55" spans="1:13" x14ac:dyDescent="0.35">
      <c r="A55" s="223"/>
      <c r="B55" s="68"/>
      <c r="C55" s="160"/>
      <c r="D55" s="131" t="s">
        <v>48</v>
      </c>
      <c r="E55" s="131"/>
      <c r="F55" s="136"/>
      <c r="G55" s="135"/>
      <c r="H55" s="135"/>
      <c r="I55" s="135"/>
      <c r="J55" s="135"/>
      <c r="K55" s="161"/>
      <c r="L55" s="68"/>
      <c r="M55" s="125"/>
    </row>
    <row r="56" spans="1:13" x14ac:dyDescent="0.35">
      <c r="A56" s="223"/>
      <c r="B56" s="68"/>
      <c r="C56" s="160"/>
      <c r="D56" s="149">
        <f>D52+1</f>
        <v>25</v>
      </c>
      <c r="E56" s="82" t="s">
        <v>17</v>
      </c>
      <c r="F56" s="147" t="s">
        <v>98</v>
      </c>
      <c r="G56" s="148"/>
      <c r="H56" s="11"/>
      <c r="I56" s="109"/>
      <c r="J56" s="112">
        <f>J36-J30</f>
        <v>-0.17000000000000171</v>
      </c>
      <c r="K56" s="161"/>
      <c r="L56" s="68"/>
      <c r="M56" s="219" t="s">
        <v>109</v>
      </c>
    </row>
    <row r="57" spans="1:13" x14ac:dyDescent="0.35">
      <c r="A57" s="223"/>
      <c r="B57" s="68"/>
      <c r="C57" s="160"/>
      <c r="D57" s="149">
        <f>D56+1</f>
        <v>26</v>
      </c>
      <c r="E57" s="82" t="s">
        <v>18</v>
      </c>
      <c r="F57" s="147" t="s">
        <v>99</v>
      </c>
      <c r="G57" s="148"/>
      <c r="H57" s="11"/>
      <c r="I57" s="109"/>
      <c r="J57" s="113">
        <f>J37-J31</f>
        <v>-0.15246607515657473</v>
      </c>
      <c r="K57" s="161"/>
      <c r="L57" s="68"/>
      <c r="M57" s="220"/>
    </row>
    <row r="58" spans="1:13" x14ac:dyDescent="0.35">
      <c r="A58" s="223"/>
      <c r="B58" s="68"/>
      <c r="C58" s="160"/>
      <c r="D58" s="149">
        <f>D57+1</f>
        <v>27</v>
      </c>
      <c r="E58" s="82" t="s">
        <v>19</v>
      </c>
      <c r="F58" s="147" t="s">
        <v>100</v>
      </c>
      <c r="G58" s="148"/>
      <c r="H58" s="11"/>
      <c r="I58" s="109"/>
      <c r="J58" s="113">
        <f>J38-J32</f>
        <v>-0.13552540013917991</v>
      </c>
      <c r="K58" s="161"/>
      <c r="L58" s="68"/>
      <c r="M58" s="220"/>
    </row>
    <row r="59" spans="1:13" x14ac:dyDescent="0.35">
      <c r="A59" s="223"/>
      <c r="B59" s="68"/>
      <c r="C59" s="160"/>
      <c r="D59" s="149">
        <f>D58+1</f>
        <v>28</v>
      </c>
      <c r="E59" s="82" t="s">
        <v>20</v>
      </c>
      <c r="F59" s="147" t="s">
        <v>101</v>
      </c>
      <c r="G59" s="148"/>
      <c r="H59" s="11"/>
      <c r="I59" s="109"/>
      <c r="J59" s="114">
        <f>J39-J33</f>
        <v>-0.11858472512177798</v>
      </c>
      <c r="K59" s="161"/>
      <c r="L59" s="68"/>
      <c r="M59" s="221"/>
    </row>
    <row r="60" spans="1:13" ht="15.5" x14ac:dyDescent="0.35">
      <c r="A60" s="223"/>
      <c r="B60" s="68"/>
      <c r="C60" s="160"/>
      <c r="D60" s="133"/>
      <c r="E60" s="133"/>
      <c r="F60" s="134"/>
      <c r="G60" s="133"/>
      <c r="H60" s="151"/>
      <c r="I60" s="8"/>
      <c r="J60" s="6"/>
      <c r="K60" s="161"/>
      <c r="L60" s="68"/>
      <c r="M60" s="125"/>
    </row>
    <row r="61" spans="1:13" x14ac:dyDescent="0.35">
      <c r="A61" s="223"/>
      <c r="B61" s="68"/>
      <c r="C61" s="160"/>
      <c r="D61" s="131" t="s">
        <v>49</v>
      </c>
      <c r="E61" s="131"/>
      <c r="F61" s="136"/>
      <c r="G61" s="62"/>
      <c r="H61" s="135"/>
      <c r="I61" s="135"/>
      <c r="J61" s="135"/>
      <c r="K61" s="161"/>
      <c r="L61" s="68"/>
      <c r="M61" s="125"/>
    </row>
    <row r="62" spans="1:13" x14ac:dyDescent="0.35">
      <c r="A62" s="224"/>
      <c r="B62" s="68"/>
      <c r="C62" s="160"/>
      <c r="D62" s="11">
        <f>D59+1</f>
        <v>29</v>
      </c>
      <c r="E62" s="11" t="s">
        <v>21</v>
      </c>
      <c r="F62" s="147" t="s">
        <v>97</v>
      </c>
      <c r="G62" s="150"/>
      <c r="H62" s="11"/>
      <c r="I62" s="108"/>
      <c r="J62" s="115">
        <f>J52-J49</f>
        <v>-0.19874739039666167</v>
      </c>
      <c r="K62" s="161"/>
      <c r="L62" s="68"/>
      <c r="M62" s="129" t="s">
        <v>110</v>
      </c>
    </row>
    <row r="63" spans="1:13" x14ac:dyDescent="0.35">
      <c r="B63" s="68"/>
      <c r="C63" s="162"/>
      <c r="D63" s="163"/>
      <c r="E63" s="164"/>
      <c r="F63" s="165"/>
      <c r="G63" s="166"/>
      <c r="H63" s="167"/>
      <c r="I63" s="166"/>
      <c r="J63" s="167"/>
      <c r="K63" s="168"/>
      <c r="L63" s="68"/>
      <c r="M63" s="125"/>
    </row>
    <row r="65" spans="1:4" s="2" customFormat="1" x14ac:dyDescent="0.35">
      <c r="A65" s="119" t="s">
        <v>12</v>
      </c>
      <c r="D65" s="120" t="s">
        <v>80</v>
      </c>
    </row>
    <row r="66" spans="1:4" s="2" customFormat="1" x14ac:dyDescent="0.35">
      <c r="A66" s="121"/>
      <c r="D66" s="120" t="s">
        <v>82</v>
      </c>
    </row>
    <row r="67" spans="1:4" s="2" customFormat="1" x14ac:dyDescent="0.35">
      <c r="A67" s="121"/>
      <c r="D67" s="120" t="s">
        <v>81</v>
      </c>
    </row>
    <row r="68" spans="1:4" s="2" customFormat="1" x14ac:dyDescent="0.35">
      <c r="A68" s="121"/>
      <c r="D68" s="120" t="s">
        <v>121</v>
      </c>
    </row>
    <row r="69" spans="1:4" s="2" customFormat="1" x14ac:dyDescent="0.35">
      <c r="A69" s="121"/>
      <c r="D69" s="120" t="s">
        <v>83</v>
      </c>
    </row>
    <row r="70" spans="1:4" s="2" customFormat="1" x14ac:dyDescent="0.35">
      <c r="A70" s="121"/>
      <c r="D70" s="120" t="s">
        <v>116</v>
      </c>
    </row>
    <row r="71" spans="1:4" s="2" customFormat="1" x14ac:dyDescent="0.35">
      <c r="A71" s="121"/>
      <c r="D71" s="120" t="s">
        <v>111</v>
      </c>
    </row>
    <row r="72" spans="1:4" s="2" customFormat="1" x14ac:dyDescent="0.35">
      <c r="A72" s="121"/>
      <c r="D72" s="120" t="s">
        <v>117</v>
      </c>
    </row>
  </sheetData>
  <mergeCells count="6">
    <mergeCell ref="A5:A17"/>
    <mergeCell ref="A19:A52"/>
    <mergeCell ref="M30:M33"/>
    <mergeCell ref="M36:M39"/>
    <mergeCell ref="A54:A62"/>
    <mergeCell ref="M56:M59"/>
  </mergeCells>
  <pageMargins left="0.7" right="0.7" top="0.75" bottom="0.75" header="0.3" footer="0.3"/>
  <pageSetup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showGridLines="0" workbookViewId="0">
      <selection activeCell="C5" sqref="C5"/>
    </sheetView>
  </sheetViews>
  <sheetFormatPr defaultColWidth="9.1796875" defaultRowHeight="14.5" x14ac:dyDescent="0.35"/>
  <cols>
    <col min="1" max="2" width="9.1796875" style="2"/>
    <col min="3" max="3" width="26" style="2" bestFit="1" customWidth="1"/>
    <col min="4" max="4" width="26" style="2" customWidth="1"/>
    <col min="5" max="5" width="18.81640625" style="2" customWidth="1"/>
    <col min="6" max="6" width="18.7265625" style="2" customWidth="1"/>
    <col min="7" max="7" width="15" style="2" customWidth="1"/>
    <col min="8" max="8" width="16" style="2" customWidth="1"/>
    <col min="9" max="9" width="1.7265625" style="2" customWidth="1"/>
    <col min="10" max="10" width="16" style="2" customWidth="1"/>
    <col min="11" max="11" width="11.26953125" style="2" customWidth="1"/>
    <col min="12" max="16384" width="9.1796875" style="2"/>
  </cols>
  <sheetData>
    <row r="2" spans="2:11" ht="15" x14ac:dyDescent="0.25">
      <c r="B2" s="12" t="s">
        <v>1</v>
      </c>
      <c r="C2" s="12"/>
      <c r="D2" s="12"/>
      <c r="E2" s="12"/>
      <c r="F2" s="12"/>
      <c r="G2" s="12"/>
      <c r="H2" s="12"/>
      <c r="I2" s="12"/>
      <c r="J2" s="12"/>
    </row>
    <row r="3" spans="2:11" ht="15" x14ac:dyDescent="0.25">
      <c r="B3" s="12" t="s">
        <v>123</v>
      </c>
      <c r="C3" s="12"/>
      <c r="D3" s="12"/>
      <c r="E3" s="12"/>
      <c r="F3" s="12"/>
      <c r="G3" s="12"/>
      <c r="H3" s="12"/>
      <c r="I3" s="12"/>
      <c r="J3" s="12"/>
    </row>
    <row r="4" spans="2:11" x14ac:dyDescent="0.35">
      <c r="B4" s="212" t="s">
        <v>131</v>
      </c>
      <c r="C4" s="12"/>
      <c r="D4" s="13"/>
      <c r="E4" s="13"/>
      <c r="F4" s="13"/>
      <c r="G4" s="13"/>
      <c r="H4" s="13"/>
      <c r="I4" s="13"/>
      <c r="J4" s="13"/>
    </row>
    <row r="5" spans="2:11" ht="15" x14ac:dyDescent="0.25">
      <c r="C5" s="1"/>
      <c r="D5" s="5"/>
      <c r="E5" s="5"/>
      <c r="F5" s="5"/>
      <c r="G5" s="5"/>
      <c r="H5" s="5"/>
      <c r="I5" s="5"/>
      <c r="J5" s="5"/>
    </row>
    <row r="6" spans="2:11" ht="15.75" x14ac:dyDescent="0.25">
      <c r="B6" s="3"/>
      <c r="C6" s="36"/>
      <c r="D6" s="36"/>
      <c r="E6" s="180" t="s">
        <v>5</v>
      </c>
      <c r="F6" s="179"/>
      <c r="G6" s="202" t="s">
        <v>13</v>
      </c>
      <c r="H6" s="179"/>
      <c r="I6" s="199"/>
      <c r="J6" s="198" t="s">
        <v>124</v>
      </c>
    </row>
    <row r="7" spans="2:11" ht="58" x14ac:dyDescent="0.35">
      <c r="B7" s="57"/>
      <c r="C7" s="55"/>
      <c r="D7" s="56" t="s">
        <v>125</v>
      </c>
      <c r="E7" s="56" t="s">
        <v>53</v>
      </c>
      <c r="F7" s="56" t="s">
        <v>122</v>
      </c>
      <c r="G7" s="183" t="s">
        <v>53</v>
      </c>
      <c r="H7" s="56" t="s">
        <v>122</v>
      </c>
      <c r="I7" s="200"/>
      <c r="J7" s="204" t="s">
        <v>129</v>
      </c>
      <c r="K7" s="206" t="s">
        <v>128</v>
      </c>
    </row>
    <row r="8" spans="2:11" ht="15" x14ac:dyDescent="0.25">
      <c r="B8" s="43" t="s">
        <v>44</v>
      </c>
      <c r="C8" s="43"/>
      <c r="D8" s="86" t="s">
        <v>3</v>
      </c>
      <c r="E8" s="86" t="s">
        <v>41</v>
      </c>
      <c r="F8" s="86"/>
      <c r="G8" s="203" t="s">
        <v>41</v>
      </c>
      <c r="H8" s="30"/>
      <c r="I8" s="10"/>
      <c r="J8" s="184"/>
      <c r="K8" s="184"/>
    </row>
    <row r="9" spans="2:11" ht="15" x14ac:dyDescent="0.25">
      <c r="B9" s="82">
        <v>1</v>
      </c>
      <c r="C9" s="82" t="s">
        <v>17</v>
      </c>
      <c r="D9" s="189">
        <v>3218880</v>
      </c>
      <c r="E9" s="51">
        <f>Rates!D7</f>
        <v>50</v>
      </c>
      <c r="F9" s="181">
        <f>D9*E9</f>
        <v>160944000</v>
      </c>
      <c r="G9" s="185">
        <f>Rates!F7</f>
        <v>49.83059324982603</v>
      </c>
      <c r="H9" s="51">
        <f>G9*D9</f>
        <v>160398700</v>
      </c>
      <c r="I9" s="51"/>
      <c r="J9" s="185">
        <f>H9-F9</f>
        <v>-545300</v>
      </c>
    </row>
    <row r="10" spans="2:11" ht="15" x14ac:dyDescent="0.25">
      <c r="B10" s="82">
        <f>B9+1</f>
        <v>2</v>
      </c>
      <c r="C10" s="82" t="s">
        <v>18</v>
      </c>
      <c r="D10" s="189">
        <v>766400</v>
      </c>
      <c r="E10" s="51">
        <f>Rates!D8</f>
        <v>45</v>
      </c>
      <c r="F10" s="181">
        <f t="shared" ref="F10:F12" si="0">D10*E10</f>
        <v>34488000</v>
      </c>
      <c r="G10" s="185">
        <f>Rates!F8</f>
        <v>44.847533924843425</v>
      </c>
      <c r="H10" s="51">
        <f t="shared" ref="H10:H12" si="1">G10*D10</f>
        <v>34371150</v>
      </c>
      <c r="I10" s="51"/>
      <c r="J10" s="185">
        <f t="shared" ref="J10:J12" si="2">H10-F10</f>
        <v>-116850</v>
      </c>
    </row>
    <row r="11" spans="2:11" ht="15" x14ac:dyDescent="0.25">
      <c r="B11" s="82">
        <f>B10+1</f>
        <v>3</v>
      </c>
      <c r="C11" s="82" t="s">
        <v>19</v>
      </c>
      <c r="D11" s="189">
        <v>574800</v>
      </c>
      <c r="E11" s="51">
        <f>Rates!D9</f>
        <v>40</v>
      </c>
      <c r="F11" s="181">
        <f t="shared" si="0"/>
        <v>22992000</v>
      </c>
      <c r="G11" s="185">
        <f>Rates!F9</f>
        <v>39.86447459986082</v>
      </c>
      <c r="H11" s="51">
        <f t="shared" si="1"/>
        <v>22914100</v>
      </c>
      <c r="I11" s="51"/>
      <c r="J11" s="185">
        <f t="shared" si="2"/>
        <v>-77900</v>
      </c>
    </row>
    <row r="12" spans="2:11" ht="15" x14ac:dyDescent="0.25">
      <c r="B12" s="190">
        <f>B11+1</f>
        <v>4</v>
      </c>
      <c r="C12" s="190" t="s">
        <v>20</v>
      </c>
      <c r="D12" s="191">
        <v>328457.14285714284</v>
      </c>
      <c r="E12" s="192">
        <f>Rates!D10</f>
        <v>35</v>
      </c>
      <c r="F12" s="193">
        <f t="shared" si="0"/>
        <v>11496000</v>
      </c>
      <c r="G12" s="194">
        <f>Rates!F10</f>
        <v>34.881415274878222</v>
      </c>
      <c r="H12" s="196">
        <f t="shared" si="1"/>
        <v>11457050</v>
      </c>
      <c r="I12" s="51"/>
      <c r="J12" s="194">
        <f t="shared" si="2"/>
        <v>-38950</v>
      </c>
    </row>
    <row r="13" spans="2:11" ht="15" x14ac:dyDescent="0.25">
      <c r="B13" s="82"/>
      <c r="C13" s="82" t="s">
        <v>29</v>
      </c>
      <c r="D13" s="82"/>
      <c r="E13" s="195"/>
      <c r="F13" s="144">
        <f>SUM(F9:F12)</f>
        <v>229920000</v>
      </c>
      <c r="G13" s="185"/>
      <c r="H13" s="144">
        <f>SUM(H9:H12)</f>
        <v>229141000</v>
      </c>
      <c r="I13" s="144"/>
      <c r="J13" s="144">
        <f>SUM(J9:J12)</f>
        <v>-779000</v>
      </c>
      <c r="K13" s="205">
        <f>ROUND(J13/F13,3)</f>
        <v>-3.0000000000000001E-3</v>
      </c>
    </row>
    <row r="14" spans="2:11" ht="15.75" x14ac:dyDescent="0.25">
      <c r="B14" s="3"/>
      <c r="C14" s="36"/>
      <c r="D14" s="36"/>
      <c r="E14" s="4"/>
      <c r="G14" s="186"/>
      <c r="H14" s="4"/>
      <c r="I14" s="53"/>
      <c r="J14" s="197"/>
    </row>
    <row r="15" spans="2:11" ht="15" x14ac:dyDescent="0.25">
      <c r="B15" s="43" t="s">
        <v>45</v>
      </c>
      <c r="C15" s="43"/>
      <c r="D15" s="43"/>
      <c r="E15" s="86" t="s">
        <v>41</v>
      </c>
      <c r="F15" s="87"/>
      <c r="G15" s="203" t="s">
        <v>41</v>
      </c>
      <c r="H15" s="31"/>
      <c r="I15" s="201"/>
      <c r="J15" s="187"/>
      <c r="K15" s="187"/>
    </row>
    <row r="16" spans="2:11" ht="15" x14ac:dyDescent="0.25">
      <c r="B16" s="3">
        <f>B12+1</f>
        <v>5</v>
      </c>
      <c r="C16" s="3" t="s">
        <v>4</v>
      </c>
      <c r="D16" s="182">
        <v>4790000</v>
      </c>
      <c r="E16" s="51">
        <f>Rates!D13</f>
        <v>40</v>
      </c>
      <c r="F16" s="144">
        <f>E16*D16</f>
        <v>191600000</v>
      </c>
      <c r="G16" s="185">
        <f>Rates!F13</f>
        <v>39.801252609603338</v>
      </c>
      <c r="H16" s="29">
        <f>D16*G16</f>
        <v>190648000</v>
      </c>
      <c r="I16" s="29"/>
      <c r="J16" s="188">
        <f>H16-F16</f>
        <v>-952000</v>
      </c>
      <c r="K16" s="205">
        <f>ROUND(J16/F16,3)</f>
        <v>-5.0000000000000001E-3</v>
      </c>
    </row>
    <row r="17" spans="2:10" ht="15" x14ac:dyDescent="0.25">
      <c r="H17" s="7"/>
      <c r="I17" s="7"/>
      <c r="J17" s="7"/>
    </row>
    <row r="18" spans="2:10" x14ac:dyDescent="0.35">
      <c r="B18" s="208">
        <f>B16+1</f>
        <v>6</v>
      </c>
      <c r="C18" s="209" t="s">
        <v>130</v>
      </c>
      <c r="D18" s="210"/>
      <c r="E18" s="210"/>
      <c r="F18" s="210"/>
      <c r="G18" s="210"/>
      <c r="H18" s="210"/>
      <c r="I18" s="210"/>
      <c r="J18" s="211">
        <f>SUM(J13,J16)</f>
        <v>-1731000</v>
      </c>
    </row>
    <row r="19" spans="2:10" x14ac:dyDescent="0.35">
      <c r="J19" s="207"/>
    </row>
  </sheetData>
  <printOptions horizontalCentered="1"/>
  <pageMargins left="0.7" right="0.7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Summary</vt:lpstr>
      <vt:lpstr>Rates</vt:lpstr>
      <vt:lpstr>TAP Rider CALC</vt:lpstr>
      <vt:lpstr>Revenue</vt:lpstr>
      <vt:lpstr>Rates!Print_Area</vt:lpstr>
      <vt:lpstr>Revenue!Print_Area</vt:lpstr>
      <vt:lpstr>Summary!Print_Area</vt:lpstr>
      <vt:lpstr>'TAP Rider CALC'!Print_Area</vt:lpstr>
    </vt:vector>
  </TitlesOfParts>
  <Company>Black &amp; Veatch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Merritt, Brian L.</dc:creator>
  <cp:lastModifiedBy>Operations</cp:lastModifiedBy>
  <cp:lastPrinted>2017-12-08T16:46:00Z</cp:lastPrinted>
  <dcterms:created xsi:type="dcterms:W3CDTF">2017-08-03T01:11:26Z</dcterms:created>
  <dcterms:modified xsi:type="dcterms:W3CDTF">2018-01-05T23:19:36Z</dcterms:modified>
</cp:coreProperties>
</file>